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d loan" sheetId="1" state="visible" r:id="rId1"/>
    <sheet xmlns:r="http://schemas.openxmlformats.org/officeDocument/2006/relationships" name="Month by mont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2" fontId="0" fillId="3" borderId="1" pivotButton="0" quotePrefix="0" xfId="0"/>
    <xf numFmtId="1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4" fillId="4" borderId="1" pivotButton="0" quotePrefix="0" xfId="0"/>
    <xf numFmtId="10" fontId="4" fillId="4" borderId="1" pivotButton="0" quotePrefix="0" xfId="0"/>
    <xf numFmtId="0" fontId="4" fillId="4" borderId="1" pivotButton="0" quotePrefix="0" xfId="0"/>
    <xf numFmtId="0" fontId="0" fillId="3" borderId="1" pivotButton="0" quotePrefix="0" xfId="0"/>
    <xf numFmtId="164" fontId="0" fillId="4" borderId="1" pivotButton="0" quotePrefix="0" xfId="0"/>
    <xf numFmtId="0" fontId="4" fillId="0" borderId="0" pivotButton="0" quotePrefix="0" xfId="0"/>
    <xf numFmtId="49" fontId="0" fillId="0" borderId="1" pivotButton="0" quotePrefix="0" xfId="0"/>
    <xf numFmtId="2" fontId="0" fillId="0" borderId="1" pivotButton="0" quotePrefix="0" xfId="0"/>
    <xf numFmtId="9" fontId="0" fillId="0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gold-loan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22" customWidth="1" min="3" max="3"/>
    <col width="22" customWidth="1" min="4" max="4"/>
    <col width="18" customWidth="1" min="5" max="5"/>
    <col width="18" customWidth="1" min="6" max="6"/>
  </cols>
  <sheetData>
    <row r="1">
      <c r="A1" s="1" t="inlineStr">
        <is>
          <t>Gold loan calculator — what your gold is worth, what you can borrow, and 3 ways to repay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gold</t>
        </is>
      </c>
      <c r="B4" s="4" t="n"/>
    </row>
    <row r="5">
      <c r="A5" s="5" t="inlineStr">
        <is>
          <t>Net weight of gold (grams)</t>
        </is>
      </c>
      <c r="B5" s="6" t="n">
        <v>20</v>
      </c>
      <c r="C5" s="2" t="inlineStr">
        <is>
          <t>Gold only: stones, lac and thread are not counted</t>
        </is>
      </c>
    </row>
    <row r="6">
      <c r="A6" s="5" t="inlineStr">
        <is>
          <t>Purity (carat): 24, 22 or 18</t>
        </is>
      </c>
      <c r="B6" s="7" t="n">
        <v>22</v>
      </c>
      <c r="C6" s="2" t="inlineStr">
        <is>
          <t>Most jewellery is 22 carat</t>
        </is>
      </c>
    </row>
    <row r="7">
      <c r="A7" s="5" t="inlineStr">
        <is>
          <t>24K rate: average closing price of the last 30 days (₹ a gram)</t>
        </is>
      </c>
      <c r="B7" s="8" t="n">
        <v>13500</v>
      </c>
      <c r="C7" s="2" t="inlineStr">
        <is>
          <t>IBJA publishes these daily</t>
        </is>
      </c>
    </row>
    <row r="8">
      <c r="A8" s="5" t="inlineStr">
        <is>
          <t>24K rate: yesterday's closing price (₹ a gram)</t>
        </is>
      </c>
      <c r="B8" s="8" t="n">
        <v>13700</v>
      </c>
    </row>
    <row r="9">
      <c r="A9" s="5" t="inlineStr">
        <is>
          <t>Your lender's LTV (%)</t>
        </is>
      </c>
      <c r="B9" s="9" t="n">
        <v>75</v>
      </c>
      <c r="C9" s="2" t="inlineStr">
        <is>
          <t>Lenders may offer less than the RBI maximum. SBI rows below</t>
        </is>
      </c>
    </row>
    <row r="11">
      <c r="A11" s="3" t="inlineStr">
        <is>
          <t>What the gold is worth and what you can borrow</t>
        </is>
      </c>
      <c r="B11" s="4" t="n"/>
    </row>
    <row r="12">
      <c r="A12" s="5" t="inlineStr">
        <is>
          <t>Rate used (the lower of the two, as RBI requires)</t>
        </is>
      </c>
      <c r="B12" s="10">
        <f>MIN(B7,B8)</f>
        <v/>
      </c>
    </row>
    <row r="13">
      <c r="A13" s="5" t="inlineStr">
        <is>
          <t>Pure gold share</t>
        </is>
      </c>
      <c r="B13" s="11">
        <f>B6/24</f>
        <v/>
      </c>
    </row>
    <row r="14">
      <c r="A14" s="5" t="inlineStr">
        <is>
          <t>Value of the gold</t>
        </is>
      </c>
      <c r="B14" s="10">
        <f>ROUND(B5*B13*B12,0)</f>
        <v/>
      </c>
    </row>
    <row r="15">
      <c r="A15" s="5" t="inlineStr">
        <is>
          <t>RBI maximum loan on this gold</t>
        </is>
      </c>
      <c r="B15" s="10">
        <f>ROUND(IF(B14*0.85&lt;=250000,B14*0.85,IF(B14*0.8&lt;=500000,MAX(250000,B14*0.8),MAX(500000,B14*0.75))),0)</f>
        <v/>
      </c>
      <c r="C15" s="2" t="inlineStr">
        <is>
          <t>85% for loans up to ₹2.5 lakh, 80% up to ₹5 lakh, 75% above</t>
        </is>
      </c>
    </row>
    <row r="16">
      <c r="A16" s="5" t="inlineStr">
        <is>
          <t>Eligible loan at your lender's LTV</t>
        </is>
      </c>
      <c r="B16" s="10">
        <f>ROUND(MIN(B14*B9/100,B15),0)</f>
        <v/>
      </c>
    </row>
    <row r="17">
      <c r="A17" s="5" t="inlineStr">
        <is>
          <t>Loan per gram</t>
        </is>
      </c>
      <c r="B17" s="10">
        <f>IF(B5&gt;0,ROUND(B16/B5,0),0)</f>
        <v/>
      </c>
    </row>
    <row r="19">
      <c r="A19" s="3" t="inlineStr">
        <is>
          <t>Your loan</t>
        </is>
      </c>
      <c r="B19" s="4" t="n"/>
    </row>
    <row r="20">
      <c r="A20" s="5" t="inlineStr">
        <is>
          <t>Loan you want (₹; 0 = the full eligible amount)</t>
        </is>
      </c>
      <c r="B20" s="8" t="n">
        <v>0</v>
      </c>
    </row>
    <row r="21">
      <c r="A21" s="5" t="inlineStr">
        <is>
          <t>Loan used in the sums below</t>
        </is>
      </c>
      <c r="B21" s="10">
        <f>IF(B20=0,B16,B20)</f>
        <v/>
      </c>
    </row>
    <row r="22">
      <c r="A22" s="5" t="inlineStr">
        <is>
          <t>Within what this gold supports?</t>
        </is>
      </c>
      <c r="B22" s="12">
        <f>IF(B21&lt;=B16,"Yes","No: above the eligible amount")</f>
        <v/>
      </c>
    </row>
    <row r="23">
      <c r="A23" s="5" t="inlineStr">
        <is>
          <t>RBI LTV band for this loan</t>
        </is>
      </c>
      <c r="B23" s="12">
        <f>IF(B21&lt;=250000,"Up to ₹2.5 lakh: 85%",IF(B21&lt;=500000,"₹2.5 to 5 lakh: 80%","Above ₹5 lakh: 75%"))</f>
        <v/>
      </c>
    </row>
    <row r="24">
      <c r="A24" s="5" t="inlineStr">
        <is>
          <t>Tenure (months)</t>
        </is>
      </c>
      <c r="B24" s="7" t="n">
        <v>12</v>
      </c>
      <c r="C24" s="2" t="inlineStr">
        <is>
          <t>Bullet loans for personal use: 12 months at most</t>
        </is>
      </c>
    </row>
    <row r="25">
      <c r="A25" s="5" t="inlineStr">
        <is>
          <t>Processing fee (% of the loan)</t>
        </is>
      </c>
      <c r="B25" s="6" t="n">
        <v>0.25</v>
      </c>
      <c r="C25" s="2" t="inlineStr">
        <is>
          <t>SBI: 0.25% up to ₹2 lakh, 0.15% above (minimums apply)</t>
        </is>
      </c>
    </row>
    <row r="26">
      <c r="A26" s="5" t="inlineStr">
        <is>
          <t>GST on the fee (%)</t>
        </is>
      </c>
      <c r="B26" s="7" t="n">
        <v>18</v>
      </c>
    </row>
    <row r="27">
      <c r="A27" s="5" t="inlineStr">
        <is>
          <t>Bullet interest: S = simple, C = compounded monthly</t>
        </is>
      </c>
      <c r="B27" s="13" t="inlineStr">
        <is>
          <t>S</t>
        </is>
      </c>
      <c r="C27" s="2" t="inlineStr">
        <is>
          <t>Your sanction letter says which</t>
        </is>
      </c>
    </row>
    <row r="29">
      <c r="A29" s="3" t="inlineStr">
        <is>
          <t>Three ways to repay</t>
        </is>
      </c>
      <c r="B29" s="3" t="inlineStr">
        <is>
          <t>EMI</t>
        </is>
      </c>
      <c r="C29" s="3" t="inlineStr">
        <is>
          <t>Bullet (all at the end)</t>
        </is>
      </c>
      <c r="D29" s="3" t="inlineStr">
        <is>
          <t>Interest every month</t>
        </is>
      </c>
    </row>
    <row r="30">
      <c r="A30" s="5" t="inlineStr">
        <is>
          <t>Interest rate (% a year)</t>
        </is>
      </c>
      <c r="B30" s="6" t="n">
        <v>10.25</v>
      </c>
      <c r="C30" s="6" t="n">
        <v>9.300000000000001</v>
      </c>
      <c r="D30" s="6" t="n">
        <v>10.25</v>
      </c>
    </row>
    <row r="31">
      <c r="A31" s="5" t="inlineStr">
        <is>
          <t>Paid every month</t>
        </is>
      </c>
      <c r="B31" s="14">
        <f>ROUND(PMT(B30/1200,$B$24,-$B$21),0)</f>
        <v/>
      </c>
      <c r="C31" s="14" t="n">
        <v>0</v>
      </c>
      <c r="D31" s="14">
        <f>ROUND($B$21*D30/1200,0)</f>
        <v/>
      </c>
    </row>
    <row r="32">
      <c r="A32" s="5" t="inlineStr">
        <is>
          <t>Paid at the end</t>
        </is>
      </c>
      <c r="B32" s="14" t="n">
        <v>0</v>
      </c>
      <c r="C32" s="14">
        <f>ROUND(IF(UPPER($B$27)="C",$B$21*(1+C30/1200)^$B$24,$B$21*(1+C30/100*$B$24/12)),0)</f>
        <v/>
      </c>
      <c r="D32" s="14">
        <f>$B$21</f>
        <v/>
      </c>
    </row>
    <row r="33">
      <c r="A33" s="5" t="inlineStr">
        <is>
          <t>Total interest</t>
        </is>
      </c>
      <c r="B33" s="10">
        <f>B31*$B$24-$B$21</f>
        <v/>
      </c>
      <c r="C33" s="10">
        <f>C32-$B$21</f>
        <v/>
      </c>
      <c r="D33" s="10">
        <f>D31*$B$24</f>
        <v/>
      </c>
    </row>
    <row r="34">
      <c r="A34" s="5" t="inlineStr">
        <is>
          <t>Processing fee + GST</t>
        </is>
      </c>
      <c r="B34" s="14">
        <f>ROUND($B$21*$B$25/100*(1+$B$26/100),0)</f>
        <v/>
      </c>
      <c r="C34" s="14">
        <f>ROUND($B$21*$B$25/100*(1+$B$26/100),0)</f>
        <v/>
      </c>
      <c r="D34" s="14">
        <f>ROUND($B$21*$B$25/100*(1+$B$26/100),0)</f>
        <v/>
      </c>
    </row>
    <row r="35">
      <c r="A35" s="5" t="inlineStr">
        <is>
          <t>Total cost of the loan (interest + fee)</t>
        </is>
      </c>
      <c r="B35" s="10">
        <f>B33+B34</f>
        <v/>
      </c>
      <c r="C35" s="10">
        <f>C33+C34</f>
        <v/>
      </c>
      <c r="D35" s="10">
        <f>D33+D34</f>
        <v/>
      </c>
    </row>
    <row r="37">
      <c r="A37" s="3" t="inlineStr">
        <is>
          <t>Bullet loan checks (RBI)</t>
        </is>
      </c>
      <c r="B37" s="4" t="n"/>
    </row>
    <row r="38">
      <c r="A38" s="5" t="inlineStr">
        <is>
          <t>Amount due at maturity within the RBI limit?</t>
        </is>
      </c>
      <c r="B38" s="12">
        <f>IF(C32&lt;=B15,"Yes","No: the lender will sanction less")</f>
        <v/>
      </c>
      <c r="C38" s="2" t="inlineStr">
        <is>
          <t>For bullet loans RBI counts principal + interest due at the end</t>
        </is>
      </c>
    </row>
    <row r="39">
      <c r="A39" s="5" t="inlineStr">
        <is>
          <t>Largest bullet loan RBI allows for this tenure and rate</t>
        </is>
      </c>
      <c r="B39" s="10">
        <f>ROUND(MIN(B16,B15/IF(UPPER(B27)="C",(1+C30/1200)^B24,1+C30/100*B24/12)),0)</f>
        <v/>
      </c>
    </row>
    <row r="40">
      <c r="A40" s="5" t="inlineStr">
        <is>
          <t>Tenure check</t>
        </is>
      </c>
      <c r="B40" s="12">
        <f>IF(B24&gt;12,"Bullet loans for personal use are capped at 12 months","OK")</f>
        <v/>
      </c>
    </row>
    <row r="42">
      <c r="A42" s="15" t="inlineStr">
        <is>
          <t>SBI Personal Gold Loan, for reference (sbi.bank.in, page updated 17 Oct 2026; rates move with SBI's MCLR)</t>
        </is>
      </c>
    </row>
    <row r="43">
      <c r="A43" s="15" t="inlineStr">
        <is>
          <t>Scheme</t>
        </is>
      </c>
      <c r="B43" s="15" t="inlineStr">
        <is>
          <t>Interest (% a year)</t>
        </is>
      </c>
      <c r="C43" s="15" t="inlineStr">
        <is>
          <t>Margin</t>
        </is>
      </c>
      <c r="D43" s="15" t="inlineStr">
        <is>
          <t>LTV it implies</t>
        </is>
      </c>
      <c r="E43" s="15" t="inlineStr">
        <is>
          <t>Longest tenure</t>
        </is>
      </c>
    </row>
    <row r="44">
      <c r="A44" s="16" t="inlineStr">
        <is>
          <t>6-month bullet</t>
        </is>
      </c>
      <c r="B44" s="17" t="n">
        <v>9.199999999999999</v>
      </c>
      <c r="C44" s="18" t="n">
        <v>0.3</v>
      </c>
      <c r="D44" s="18">
        <f>1-C44</f>
        <v/>
      </c>
      <c r="E44" s="16" t="inlineStr">
        <is>
          <t>6 months</t>
        </is>
      </c>
    </row>
    <row r="45">
      <c r="A45" s="16" t="inlineStr">
        <is>
          <t>12-month bullet</t>
        </is>
      </c>
      <c r="B45" s="17" t="n">
        <v>9.300000000000001</v>
      </c>
      <c r="C45" s="18" t="n">
        <v>0.35</v>
      </c>
      <c r="D45" s="18">
        <f>1-C45</f>
        <v/>
      </c>
      <c r="E45" s="16" t="inlineStr">
        <is>
          <t>12 months</t>
        </is>
      </c>
    </row>
    <row r="46">
      <c r="A46" s="16" t="inlineStr">
        <is>
          <t>EMI</t>
        </is>
      </c>
      <c r="B46" s="17" t="n">
        <v>10.25</v>
      </c>
      <c r="C46" s="18" t="n">
        <v>0.28</v>
      </c>
      <c r="D46" s="18">
        <f>1-C46</f>
        <v/>
      </c>
      <c r="E46" s="16" t="inlineStr">
        <is>
          <t>36 months</t>
        </is>
      </c>
    </row>
    <row r="47">
      <c r="A47" s="16" t="inlineStr">
        <is>
          <t>Overdraft (interest every month, ₹5 lakh minimum)</t>
        </is>
      </c>
      <c r="B47" s="17" t="n">
        <v>10.25</v>
      </c>
      <c r="C47" s="18" t="n">
        <v>0.26</v>
      </c>
      <c r="D47" s="18">
        <f>1-C47</f>
        <v/>
      </c>
      <c r="E47" s="16" t="inlineStr">
        <is>
          <t>—</t>
        </is>
      </c>
    </row>
    <row r="49">
      <c r="A49" s="19" t="inlineStr">
        <is>
          <t>Gold is valued at the rate for its purity: the lower of the 30-day average closing price and the previous day's close, published by IBJA or a SEBI-regulated commodity exchange. The RBI limit must hold for the whole loan: if gold prices fall, the lender can ask you to repay part or pledge more gold.</t>
        </is>
      </c>
    </row>
    <row r="51">
      <c r="A51" s="20" t="inlineStr">
        <is>
          <t>Live version with every option side by side: https://paisatools.co.in/gold-loan-calculator</t>
        </is>
      </c>
    </row>
    <row r="52">
      <c r="A52" s="2" t="inlineStr">
        <is>
          <t>Gold loan calculator · Free template by PaisaTools (paisatools.co.in) · CC BY 4.0: share and adapt with credit.</t>
        </is>
      </c>
    </row>
    <row r="53">
      <c r="A53" s="2" t="inlineStr">
        <is>
          <t>Gold loan calculator · Free template by PaisaTools (paisatools.co.in) · CC BY 4.0. RBI limits as in force from 1 Apr 2026. Not financial advice.</t>
        </is>
      </c>
    </row>
  </sheetData>
  <dataValidations count="1">
    <dataValidation sqref="B6" showDropDown="0" showInputMessage="0" showErrorMessage="0" allowBlank="0" type="list">
      <formula1>"24,22,18"</formula1>
    </dataValidation>
  </dataValidations>
  <hyperlinks>
    <hyperlink xmlns:r="http://schemas.openxmlformats.org/officeDocument/2006/relationships" ref="A5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Gold loan — what you pay each month under each style</t>
        </is>
      </c>
    </row>
    <row r="2">
      <c r="A2" s="2" t="inlineStr">
        <is>
          <t>Reads the loan, tenure and rates from the 'Gold loan' tab. Rows after your tenure show 0.</t>
        </is>
      </c>
    </row>
    <row r="4">
      <c r="A4" s="3" t="inlineStr">
        <is>
          <t>Month</t>
        </is>
      </c>
      <c r="B4" s="3" t="inlineStr">
        <is>
          <t>EMI paid</t>
        </is>
      </c>
      <c r="C4" s="3" t="inlineStr">
        <is>
          <t>EMI: still owed</t>
        </is>
      </c>
      <c r="D4" s="3" t="inlineStr">
        <is>
          <t>Bullet: paid</t>
        </is>
      </c>
      <c r="E4" s="3" t="inlineStr">
        <is>
          <t>Bullet: owed incl. interest</t>
        </is>
      </c>
      <c r="F4" s="3" t="inlineStr">
        <is>
          <t>Interest-only: paid</t>
        </is>
      </c>
      <c r="G4" s="3" t="inlineStr">
        <is>
          <t>Interest-only: principal owed</t>
        </is>
      </c>
    </row>
    <row r="5">
      <c r="A5" s="5" t="n">
        <v>1</v>
      </c>
      <c r="B5" s="21">
        <f>IF(1&lt;='Gold loan'!$B$24,'Gold loan'!$B$31,0)</f>
        <v/>
      </c>
      <c r="C5" s="21">
        <f>IF(1&lt;='Gold loan'!$B$24,MAX(0,ROUND('Gold loan'!$B$21*(1+'Gold loan'!$B$30/1200)-B5,0)),0)</f>
        <v/>
      </c>
      <c r="D5" s="21">
        <f>IF(1='Gold loan'!$B$24,'Gold loan'!$C$32,0)</f>
        <v/>
      </c>
      <c r="E5" s="21">
        <f>IF(1&lt;='Gold loan'!$B$24,ROUND(IF(UPPER('Gold loan'!$B$27)="C",'Gold loan'!$B$21*(1+'Gold loan'!$C$30/1200)^1,'Gold loan'!$B$21*(1+'Gold loan'!$C$30/100*1/12)),0),0)</f>
        <v/>
      </c>
      <c r="F5" s="21">
        <f>IF(1&lt;='Gold loan'!$B$24,'Gold loan'!$D$31+IF(1='Gold loan'!$B$24,'Gold loan'!$B$21,0),0)</f>
        <v/>
      </c>
      <c r="G5" s="21">
        <f>IF(1&lt;'Gold loan'!$B$24,'Gold loan'!$B$21,0)</f>
        <v/>
      </c>
    </row>
    <row r="6">
      <c r="A6" s="5" t="n">
        <v>2</v>
      </c>
      <c r="B6" s="21">
        <f>IF(2&lt;='Gold loan'!$B$24,'Gold loan'!$B$31,0)</f>
        <v/>
      </c>
      <c r="C6" s="21">
        <f>IF(2&lt;='Gold loan'!$B$24,MAX(0,ROUND(C5*(1+'Gold loan'!$B$30/1200)-B6,0)),0)</f>
        <v/>
      </c>
      <c r="D6" s="21">
        <f>IF(2='Gold loan'!$B$24,'Gold loan'!$C$32,0)</f>
        <v/>
      </c>
      <c r="E6" s="21">
        <f>IF(2&lt;='Gold loan'!$B$24,ROUND(IF(UPPER('Gold loan'!$B$27)="C",'Gold loan'!$B$21*(1+'Gold loan'!$C$30/1200)^2,'Gold loan'!$B$21*(1+'Gold loan'!$C$30/100*2/12)),0),0)</f>
        <v/>
      </c>
      <c r="F6" s="21">
        <f>IF(2&lt;='Gold loan'!$B$24,'Gold loan'!$D$31+IF(2='Gold loan'!$B$24,'Gold loan'!$B$21,0),0)</f>
        <v/>
      </c>
      <c r="G6" s="21">
        <f>IF(2&lt;'Gold loan'!$B$24,'Gold loan'!$B$21,0)</f>
        <v/>
      </c>
    </row>
    <row r="7">
      <c r="A7" s="5" t="n">
        <v>3</v>
      </c>
      <c r="B7" s="21">
        <f>IF(3&lt;='Gold loan'!$B$24,'Gold loan'!$B$31,0)</f>
        <v/>
      </c>
      <c r="C7" s="21">
        <f>IF(3&lt;='Gold loan'!$B$24,MAX(0,ROUND(C6*(1+'Gold loan'!$B$30/1200)-B7,0)),0)</f>
        <v/>
      </c>
      <c r="D7" s="21">
        <f>IF(3='Gold loan'!$B$24,'Gold loan'!$C$32,0)</f>
        <v/>
      </c>
      <c r="E7" s="21">
        <f>IF(3&lt;='Gold loan'!$B$24,ROUND(IF(UPPER('Gold loan'!$B$27)="C",'Gold loan'!$B$21*(1+'Gold loan'!$C$30/1200)^3,'Gold loan'!$B$21*(1+'Gold loan'!$C$30/100*3/12)),0),0)</f>
        <v/>
      </c>
      <c r="F7" s="21">
        <f>IF(3&lt;='Gold loan'!$B$24,'Gold loan'!$D$31+IF(3='Gold loan'!$B$24,'Gold loan'!$B$21,0),0)</f>
        <v/>
      </c>
      <c r="G7" s="21">
        <f>IF(3&lt;'Gold loan'!$B$24,'Gold loan'!$B$21,0)</f>
        <v/>
      </c>
    </row>
    <row r="8">
      <c r="A8" s="5" t="n">
        <v>4</v>
      </c>
      <c r="B8" s="21">
        <f>IF(4&lt;='Gold loan'!$B$24,'Gold loan'!$B$31,0)</f>
        <v/>
      </c>
      <c r="C8" s="21">
        <f>IF(4&lt;='Gold loan'!$B$24,MAX(0,ROUND(C7*(1+'Gold loan'!$B$30/1200)-B8,0)),0)</f>
        <v/>
      </c>
      <c r="D8" s="21">
        <f>IF(4='Gold loan'!$B$24,'Gold loan'!$C$32,0)</f>
        <v/>
      </c>
      <c r="E8" s="21">
        <f>IF(4&lt;='Gold loan'!$B$24,ROUND(IF(UPPER('Gold loan'!$B$27)="C",'Gold loan'!$B$21*(1+'Gold loan'!$C$30/1200)^4,'Gold loan'!$B$21*(1+'Gold loan'!$C$30/100*4/12)),0),0)</f>
        <v/>
      </c>
      <c r="F8" s="21">
        <f>IF(4&lt;='Gold loan'!$B$24,'Gold loan'!$D$31+IF(4='Gold loan'!$B$24,'Gold loan'!$B$21,0),0)</f>
        <v/>
      </c>
      <c r="G8" s="21">
        <f>IF(4&lt;'Gold loan'!$B$24,'Gold loan'!$B$21,0)</f>
        <v/>
      </c>
    </row>
    <row r="9">
      <c r="A9" s="5" t="n">
        <v>5</v>
      </c>
      <c r="B9" s="21">
        <f>IF(5&lt;='Gold loan'!$B$24,'Gold loan'!$B$31,0)</f>
        <v/>
      </c>
      <c r="C9" s="21">
        <f>IF(5&lt;='Gold loan'!$B$24,MAX(0,ROUND(C8*(1+'Gold loan'!$B$30/1200)-B9,0)),0)</f>
        <v/>
      </c>
      <c r="D9" s="21">
        <f>IF(5='Gold loan'!$B$24,'Gold loan'!$C$32,0)</f>
        <v/>
      </c>
      <c r="E9" s="21">
        <f>IF(5&lt;='Gold loan'!$B$24,ROUND(IF(UPPER('Gold loan'!$B$27)="C",'Gold loan'!$B$21*(1+'Gold loan'!$C$30/1200)^5,'Gold loan'!$B$21*(1+'Gold loan'!$C$30/100*5/12)),0),0)</f>
        <v/>
      </c>
      <c r="F9" s="21">
        <f>IF(5&lt;='Gold loan'!$B$24,'Gold loan'!$D$31+IF(5='Gold loan'!$B$24,'Gold loan'!$B$21,0),0)</f>
        <v/>
      </c>
      <c r="G9" s="21">
        <f>IF(5&lt;'Gold loan'!$B$24,'Gold loan'!$B$21,0)</f>
        <v/>
      </c>
    </row>
    <row r="10">
      <c r="A10" s="5" t="n">
        <v>6</v>
      </c>
      <c r="B10" s="21">
        <f>IF(6&lt;='Gold loan'!$B$24,'Gold loan'!$B$31,0)</f>
        <v/>
      </c>
      <c r="C10" s="21">
        <f>IF(6&lt;='Gold loan'!$B$24,MAX(0,ROUND(C9*(1+'Gold loan'!$B$30/1200)-B10,0)),0)</f>
        <v/>
      </c>
      <c r="D10" s="21">
        <f>IF(6='Gold loan'!$B$24,'Gold loan'!$C$32,0)</f>
        <v/>
      </c>
      <c r="E10" s="21">
        <f>IF(6&lt;='Gold loan'!$B$24,ROUND(IF(UPPER('Gold loan'!$B$27)="C",'Gold loan'!$B$21*(1+'Gold loan'!$C$30/1200)^6,'Gold loan'!$B$21*(1+'Gold loan'!$C$30/100*6/12)),0),0)</f>
        <v/>
      </c>
      <c r="F10" s="21">
        <f>IF(6&lt;='Gold loan'!$B$24,'Gold loan'!$D$31+IF(6='Gold loan'!$B$24,'Gold loan'!$B$21,0),0)</f>
        <v/>
      </c>
      <c r="G10" s="21">
        <f>IF(6&lt;'Gold loan'!$B$24,'Gold loan'!$B$21,0)</f>
        <v/>
      </c>
    </row>
    <row r="11">
      <c r="A11" s="5" t="n">
        <v>7</v>
      </c>
      <c r="B11" s="21">
        <f>IF(7&lt;='Gold loan'!$B$24,'Gold loan'!$B$31,0)</f>
        <v/>
      </c>
      <c r="C11" s="21">
        <f>IF(7&lt;='Gold loan'!$B$24,MAX(0,ROUND(C10*(1+'Gold loan'!$B$30/1200)-B11,0)),0)</f>
        <v/>
      </c>
      <c r="D11" s="21">
        <f>IF(7='Gold loan'!$B$24,'Gold loan'!$C$32,0)</f>
        <v/>
      </c>
      <c r="E11" s="21">
        <f>IF(7&lt;='Gold loan'!$B$24,ROUND(IF(UPPER('Gold loan'!$B$27)="C",'Gold loan'!$B$21*(1+'Gold loan'!$C$30/1200)^7,'Gold loan'!$B$21*(1+'Gold loan'!$C$30/100*7/12)),0),0)</f>
        <v/>
      </c>
      <c r="F11" s="21">
        <f>IF(7&lt;='Gold loan'!$B$24,'Gold loan'!$D$31+IF(7='Gold loan'!$B$24,'Gold loan'!$B$21,0),0)</f>
        <v/>
      </c>
      <c r="G11" s="21">
        <f>IF(7&lt;'Gold loan'!$B$24,'Gold loan'!$B$21,0)</f>
        <v/>
      </c>
    </row>
    <row r="12">
      <c r="A12" s="5" t="n">
        <v>8</v>
      </c>
      <c r="B12" s="21">
        <f>IF(8&lt;='Gold loan'!$B$24,'Gold loan'!$B$31,0)</f>
        <v/>
      </c>
      <c r="C12" s="21">
        <f>IF(8&lt;='Gold loan'!$B$24,MAX(0,ROUND(C11*(1+'Gold loan'!$B$30/1200)-B12,0)),0)</f>
        <v/>
      </c>
      <c r="D12" s="21">
        <f>IF(8='Gold loan'!$B$24,'Gold loan'!$C$32,0)</f>
        <v/>
      </c>
      <c r="E12" s="21">
        <f>IF(8&lt;='Gold loan'!$B$24,ROUND(IF(UPPER('Gold loan'!$B$27)="C",'Gold loan'!$B$21*(1+'Gold loan'!$C$30/1200)^8,'Gold loan'!$B$21*(1+'Gold loan'!$C$30/100*8/12)),0),0)</f>
        <v/>
      </c>
      <c r="F12" s="21">
        <f>IF(8&lt;='Gold loan'!$B$24,'Gold loan'!$D$31+IF(8='Gold loan'!$B$24,'Gold loan'!$B$21,0),0)</f>
        <v/>
      </c>
      <c r="G12" s="21">
        <f>IF(8&lt;'Gold loan'!$B$24,'Gold loan'!$B$21,0)</f>
        <v/>
      </c>
    </row>
    <row r="13">
      <c r="A13" s="5" t="n">
        <v>9</v>
      </c>
      <c r="B13" s="21">
        <f>IF(9&lt;='Gold loan'!$B$24,'Gold loan'!$B$31,0)</f>
        <v/>
      </c>
      <c r="C13" s="21">
        <f>IF(9&lt;='Gold loan'!$B$24,MAX(0,ROUND(C12*(1+'Gold loan'!$B$30/1200)-B13,0)),0)</f>
        <v/>
      </c>
      <c r="D13" s="21">
        <f>IF(9='Gold loan'!$B$24,'Gold loan'!$C$32,0)</f>
        <v/>
      </c>
      <c r="E13" s="21">
        <f>IF(9&lt;='Gold loan'!$B$24,ROUND(IF(UPPER('Gold loan'!$B$27)="C",'Gold loan'!$B$21*(1+'Gold loan'!$C$30/1200)^9,'Gold loan'!$B$21*(1+'Gold loan'!$C$30/100*9/12)),0),0)</f>
        <v/>
      </c>
      <c r="F13" s="21">
        <f>IF(9&lt;='Gold loan'!$B$24,'Gold loan'!$D$31+IF(9='Gold loan'!$B$24,'Gold loan'!$B$21,0),0)</f>
        <v/>
      </c>
      <c r="G13" s="21">
        <f>IF(9&lt;'Gold loan'!$B$24,'Gold loan'!$B$21,0)</f>
        <v/>
      </c>
    </row>
    <row r="14">
      <c r="A14" s="5" t="n">
        <v>10</v>
      </c>
      <c r="B14" s="21">
        <f>IF(10&lt;='Gold loan'!$B$24,'Gold loan'!$B$31,0)</f>
        <v/>
      </c>
      <c r="C14" s="21">
        <f>IF(10&lt;='Gold loan'!$B$24,MAX(0,ROUND(C13*(1+'Gold loan'!$B$30/1200)-B14,0)),0)</f>
        <v/>
      </c>
      <c r="D14" s="21">
        <f>IF(10='Gold loan'!$B$24,'Gold loan'!$C$32,0)</f>
        <v/>
      </c>
      <c r="E14" s="21">
        <f>IF(10&lt;='Gold loan'!$B$24,ROUND(IF(UPPER('Gold loan'!$B$27)="C",'Gold loan'!$B$21*(1+'Gold loan'!$C$30/1200)^10,'Gold loan'!$B$21*(1+'Gold loan'!$C$30/100*10/12)),0),0)</f>
        <v/>
      </c>
      <c r="F14" s="21">
        <f>IF(10&lt;='Gold loan'!$B$24,'Gold loan'!$D$31+IF(10='Gold loan'!$B$24,'Gold loan'!$B$21,0),0)</f>
        <v/>
      </c>
      <c r="G14" s="21">
        <f>IF(10&lt;'Gold loan'!$B$24,'Gold loan'!$B$21,0)</f>
        <v/>
      </c>
    </row>
    <row r="15">
      <c r="A15" s="5" t="n">
        <v>11</v>
      </c>
      <c r="B15" s="21">
        <f>IF(11&lt;='Gold loan'!$B$24,'Gold loan'!$B$31,0)</f>
        <v/>
      </c>
      <c r="C15" s="21">
        <f>IF(11&lt;='Gold loan'!$B$24,MAX(0,ROUND(C14*(1+'Gold loan'!$B$30/1200)-B15,0)),0)</f>
        <v/>
      </c>
      <c r="D15" s="21">
        <f>IF(11='Gold loan'!$B$24,'Gold loan'!$C$32,0)</f>
        <v/>
      </c>
      <c r="E15" s="21">
        <f>IF(11&lt;='Gold loan'!$B$24,ROUND(IF(UPPER('Gold loan'!$B$27)="C",'Gold loan'!$B$21*(1+'Gold loan'!$C$30/1200)^11,'Gold loan'!$B$21*(1+'Gold loan'!$C$30/100*11/12)),0),0)</f>
        <v/>
      </c>
      <c r="F15" s="21">
        <f>IF(11&lt;='Gold loan'!$B$24,'Gold loan'!$D$31+IF(11='Gold loan'!$B$24,'Gold loan'!$B$21,0),0)</f>
        <v/>
      </c>
      <c r="G15" s="21">
        <f>IF(11&lt;'Gold loan'!$B$24,'Gold loan'!$B$21,0)</f>
        <v/>
      </c>
    </row>
    <row r="16">
      <c r="A16" s="5" t="n">
        <v>12</v>
      </c>
      <c r="B16" s="21">
        <f>IF(12&lt;='Gold loan'!$B$24,'Gold loan'!$B$31,0)</f>
        <v/>
      </c>
      <c r="C16" s="21">
        <f>IF(12&lt;='Gold loan'!$B$24,MAX(0,ROUND(C15*(1+'Gold loan'!$B$30/1200)-B16,0)),0)</f>
        <v/>
      </c>
      <c r="D16" s="21">
        <f>IF(12='Gold loan'!$B$24,'Gold loan'!$C$32,0)</f>
        <v/>
      </c>
      <c r="E16" s="21">
        <f>IF(12&lt;='Gold loan'!$B$24,ROUND(IF(UPPER('Gold loan'!$B$27)="C",'Gold loan'!$B$21*(1+'Gold loan'!$C$30/1200)^12,'Gold loan'!$B$21*(1+'Gold loan'!$C$30/100*12/12)),0),0)</f>
        <v/>
      </c>
      <c r="F16" s="21">
        <f>IF(12&lt;='Gold loan'!$B$24,'Gold loan'!$D$31+IF(12='Gold loan'!$B$24,'Gold loan'!$B$21,0),0)</f>
        <v/>
      </c>
      <c r="G16" s="21">
        <f>IF(12&lt;'Gold loan'!$B$24,'Gold loan'!$B$21,0)</f>
        <v/>
      </c>
    </row>
    <row r="17">
      <c r="A17" s="5" t="n">
        <v>13</v>
      </c>
      <c r="B17" s="21">
        <f>IF(13&lt;='Gold loan'!$B$24,'Gold loan'!$B$31,0)</f>
        <v/>
      </c>
      <c r="C17" s="21">
        <f>IF(13&lt;='Gold loan'!$B$24,MAX(0,ROUND(C16*(1+'Gold loan'!$B$30/1200)-B17,0)),0)</f>
        <v/>
      </c>
      <c r="D17" s="21">
        <f>IF(13='Gold loan'!$B$24,'Gold loan'!$C$32,0)</f>
        <v/>
      </c>
      <c r="E17" s="21">
        <f>IF(13&lt;='Gold loan'!$B$24,ROUND(IF(UPPER('Gold loan'!$B$27)="C",'Gold loan'!$B$21*(1+'Gold loan'!$C$30/1200)^13,'Gold loan'!$B$21*(1+'Gold loan'!$C$30/100*13/12)),0),0)</f>
        <v/>
      </c>
      <c r="F17" s="21">
        <f>IF(13&lt;='Gold loan'!$B$24,'Gold loan'!$D$31+IF(13='Gold loan'!$B$24,'Gold loan'!$B$21,0),0)</f>
        <v/>
      </c>
      <c r="G17" s="21">
        <f>IF(13&lt;'Gold loan'!$B$24,'Gold loan'!$B$21,0)</f>
        <v/>
      </c>
    </row>
    <row r="18">
      <c r="A18" s="5" t="n">
        <v>14</v>
      </c>
      <c r="B18" s="21">
        <f>IF(14&lt;='Gold loan'!$B$24,'Gold loan'!$B$31,0)</f>
        <v/>
      </c>
      <c r="C18" s="21">
        <f>IF(14&lt;='Gold loan'!$B$24,MAX(0,ROUND(C17*(1+'Gold loan'!$B$30/1200)-B18,0)),0)</f>
        <v/>
      </c>
      <c r="D18" s="21">
        <f>IF(14='Gold loan'!$B$24,'Gold loan'!$C$32,0)</f>
        <v/>
      </c>
      <c r="E18" s="21">
        <f>IF(14&lt;='Gold loan'!$B$24,ROUND(IF(UPPER('Gold loan'!$B$27)="C",'Gold loan'!$B$21*(1+'Gold loan'!$C$30/1200)^14,'Gold loan'!$B$21*(1+'Gold loan'!$C$30/100*14/12)),0),0)</f>
        <v/>
      </c>
      <c r="F18" s="21">
        <f>IF(14&lt;='Gold loan'!$B$24,'Gold loan'!$D$31+IF(14='Gold loan'!$B$24,'Gold loan'!$B$21,0),0)</f>
        <v/>
      </c>
      <c r="G18" s="21">
        <f>IF(14&lt;'Gold loan'!$B$24,'Gold loan'!$B$21,0)</f>
        <v/>
      </c>
    </row>
    <row r="19">
      <c r="A19" s="5" t="n">
        <v>15</v>
      </c>
      <c r="B19" s="21">
        <f>IF(15&lt;='Gold loan'!$B$24,'Gold loan'!$B$31,0)</f>
        <v/>
      </c>
      <c r="C19" s="21">
        <f>IF(15&lt;='Gold loan'!$B$24,MAX(0,ROUND(C18*(1+'Gold loan'!$B$30/1200)-B19,0)),0)</f>
        <v/>
      </c>
      <c r="D19" s="21">
        <f>IF(15='Gold loan'!$B$24,'Gold loan'!$C$32,0)</f>
        <v/>
      </c>
      <c r="E19" s="21">
        <f>IF(15&lt;='Gold loan'!$B$24,ROUND(IF(UPPER('Gold loan'!$B$27)="C",'Gold loan'!$B$21*(1+'Gold loan'!$C$30/1200)^15,'Gold loan'!$B$21*(1+'Gold loan'!$C$30/100*15/12)),0),0)</f>
        <v/>
      </c>
      <c r="F19" s="21">
        <f>IF(15&lt;='Gold loan'!$B$24,'Gold loan'!$D$31+IF(15='Gold loan'!$B$24,'Gold loan'!$B$21,0),0)</f>
        <v/>
      </c>
      <c r="G19" s="21">
        <f>IF(15&lt;'Gold loan'!$B$24,'Gold loan'!$B$21,0)</f>
        <v/>
      </c>
    </row>
    <row r="20">
      <c r="A20" s="5" t="n">
        <v>16</v>
      </c>
      <c r="B20" s="21">
        <f>IF(16&lt;='Gold loan'!$B$24,'Gold loan'!$B$31,0)</f>
        <v/>
      </c>
      <c r="C20" s="21">
        <f>IF(16&lt;='Gold loan'!$B$24,MAX(0,ROUND(C19*(1+'Gold loan'!$B$30/1200)-B20,0)),0)</f>
        <v/>
      </c>
      <c r="D20" s="21">
        <f>IF(16='Gold loan'!$B$24,'Gold loan'!$C$32,0)</f>
        <v/>
      </c>
      <c r="E20" s="21">
        <f>IF(16&lt;='Gold loan'!$B$24,ROUND(IF(UPPER('Gold loan'!$B$27)="C",'Gold loan'!$B$21*(1+'Gold loan'!$C$30/1200)^16,'Gold loan'!$B$21*(1+'Gold loan'!$C$30/100*16/12)),0),0)</f>
        <v/>
      </c>
      <c r="F20" s="21">
        <f>IF(16&lt;='Gold loan'!$B$24,'Gold loan'!$D$31+IF(16='Gold loan'!$B$24,'Gold loan'!$B$21,0),0)</f>
        <v/>
      </c>
      <c r="G20" s="21">
        <f>IF(16&lt;'Gold loan'!$B$24,'Gold loan'!$B$21,0)</f>
        <v/>
      </c>
    </row>
    <row r="21">
      <c r="A21" s="5" t="n">
        <v>17</v>
      </c>
      <c r="B21" s="21">
        <f>IF(17&lt;='Gold loan'!$B$24,'Gold loan'!$B$31,0)</f>
        <v/>
      </c>
      <c r="C21" s="21">
        <f>IF(17&lt;='Gold loan'!$B$24,MAX(0,ROUND(C20*(1+'Gold loan'!$B$30/1200)-B21,0)),0)</f>
        <v/>
      </c>
      <c r="D21" s="21">
        <f>IF(17='Gold loan'!$B$24,'Gold loan'!$C$32,0)</f>
        <v/>
      </c>
      <c r="E21" s="21">
        <f>IF(17&lt;='Gold loan'!$B$24,ROUND(IF(UPPER('Gold loan'!$B$27)="C",'Gold loan'!$B$21*(1+'Gold loan'!$C$30/1200)^17,'Gold loan'!$B$21*(1+'Gold loan'!$C$30/100*17/12)),0),0)</f>
        <v/>
      </c>
      <c r="F21" s="21">
        <f>IF(17&lt;='Gold loan'!$B$24,'Gold loan'!$D$31+IF(17='Gold loan'!$B$24,'Gold loan'!$B$21,0),0)</f>
        <v/>
      </c>
      <c r="G21" s="21">
        <f>IF(17&lt;'Gold loan'!$B$24,'Gold loan'!$B$21,0)</f>
        <v/>
      </c>
    </row>
    <row r="22">
      <c r="A22" s="5" t="n">
        <v>18</v>
      </c>
      <c r="B22" s="21">
        <f>IF(18&lt;='Gold loan'!$B$24,'Gold loan'!$B$31,0)</f>
        <v/>
      </c>
      <c r="C22" s="21">
        <f>IF(18&lt;='Gold loan'!$B$24,MAX(0,ROUND(C21*(1+'Gold loan'!$B$30/1200)-B22,0)),0)</f>
        <v/>
      </c>
      <c r="D22" s="21">
        <f>IF(18='Gold loan'!$B$24,'Gold loan'!$C$32,0)</f>
        <v/>
      </c>
      <c r="E22" s="21">
        <f>IF(18&lt;='Gold loan'!$B$24,ROUND(IF(UPPER('Gold loan'!$B$27)="C",'Gold loan'!$B$21*(1+'Gold loan'!$C$30/1200)^18,'Gold loan'!$B$21*(1+'Gold loan'!$C$30/100*18/12)),0),0)</f>
        <v/>
      </c>
      <c r="F22" s="21">
        <f>IF(18&lt;='Gold loan'!$B$24,'Gold loan'!$D$31+IF(18='Gold loan'!$B$24,'Gold loan'!$B$21,0),0)</f>
        <v/>
      </c>
      <c r="G22" s="21">
        <f>IF(18&lt;'Gold loan'!$B$24,'Gold loan'!$B$21,0)</f>
        <v/>
      </c>
    </row>
    <row r="23">
      <c r="A23" s="5" t="n">
        <v>19</v>
      </c>
      <c r="B23" s="21">
        <f>IF(19&lt;='Gold loan'!$B$24,'Gold loan'!$B$31,0)</f>
        <v/>
      </c>
      <c r="C23" s="21">
        <f>IF(19&lt;='Gold loan'!$B$24,MAX(0,ROUND(C22*(1+'Gold loan'!$B$30/1200)-B23,0)),0)</f>
        <v/>
      </c>
      <c r="D23" s="21">
        <f>IF(19='Gold loan'!$B$24,'Gold loan'!$C$32,0)</f>
        <v/>
      </c>
      <c r="E23" s="21">
        <f>IF(19&lt;='Gold loan'!$B$24,ROUND(IF(UPPER('Gold loan'!$B$27)="C",'Gold loan'!$B$21*(1+'Gold loan'!$C$30/1200)^19,'Gold loan'!$B$21*(1+'Gold loan'!$C$30/100*19/12)),0),0)</f>
        <v/>
      </c>
      <c r="F23" s="21">
        <f>IF(19&lt;='Gold loan'!$B$24,'Gold loan'!$D$31+IF(19='Gold loan'!$B$24,'Gold loan'!$B$21,0),0)</f>
        <v/>
      </c>
      <c r="G23" s="21">
        <f>IF(19&lt;'Gold loan'!$B$24,'Gold loan'!$B$21,0)</f>
        <v/>
      </c>
    </row>
    <row r="24">
      <c r="A24" s="5" t="n">
        <v>20</v>
      </c>
      <c r="B24" s="21">
        <f>IF(20&lt;='Gold loan'!$B$24,'Gold loan'!$B$31,0)</f>
        <v/>
      </c>
      <c r="C24" s="21">
        <f>IF(20&lt;='Gold loan'!$B$24,MAX(0,ROUND(C23*(1+'Gold loan'!$B$30/1200)-B24,0)),0)</f>
        <v/>
      </c>
      <c r="D24" s="21">
        <f>IF(20='Gold loan'!$B$24,'Gold loan'!$C$32,0)</f>
        <v/>
      </c>
      <c r="E24" s="21">
        <f>IF(20&lt;='Gold loan'!$B$24,ROUND(IF(UPPER('Gold loan'!$B$27)="C",'Gold loan'!$B$21*(1+'Gold loan'!$C$30/1200)^20,'Gold loan'!$B$21*(1+'Gold loan'!$C$30/100*20/12)),0),0)</f>
        <v/>
      </c>
      <c r="F24" s="21">
        <f>IF(20&lt;='Gold loan'!$B$24,'Gold loan'!$D$31+IF(20='Gold loan'!$B$24,'Gold loan'!$B$21,0),0)</f>
        <v/>
      </c>
      <c r="G24" s="21">
        <f>IF(20&lt;'Gold loan'!$B$24,'Gold loan'!$B$21,0)</f>
        <v/>
      </c>
    </row>
    <row r="25">
      <c r="A25" s="5" t="n">
        <v>21</v>
      </c>
      <c r="B25" s="21">
        <f>IF(21&lt;='Gold loan'!$B$24,'Gold loan'!$B$31,0)</f>
        <v/>
      </c>
      <c r="C25" s="21">
        <f>IF(21&lt;='Gold loan'!$B$24,MAX(0,ROUND(C24*(1+'Gold loan'!$B$30/1200)-B25,0)),0)</f>
        <v/>
      </c>
      <c r="D25" s="21">
        <f>IF(21='Gold loan'!$B$24,'Gold loan'!$C$32,0)</f>
        <v/>
      </c>
      <c r="E25" s="21">
        <f>IF(21&lt;='Gold loan'!$B$24,ROUND(IF(UPPER('Gold loan'!$B$27)="C",'Gold loan'!$B$21*(1+'Gold loan'!$C$30/1200)^21,'Gold loan'!$B$21*(1+'Gold loan'!$C$30/100*21/12)),0),0)</f>
        <v/>
      </c>
      <c r="F25" s="21">
        <f>IF(21&lt;='Gold loan'!$B$24,'Gold loan'!$D$31+IF(21='Gold loan'!$B$24,'Gold loan'!$B$21,0),0)</f>
        <v/>
      </c>
      <c r="G25" s="21">
        <f>IF(21&lt;'Gold loan'!$B$24,'Gold loan'!$B$21,0)</f>
        <v/>
      </c>
    </row>
    <row r="26">
      <c r="A26" s="5" t="n">
        <v>22</v>
      </c>
      <c r="B26" s="21">
        <f>IF(22&lt;='Gold loan'!$B$24,'Gold loan'!$B$31,0)</f>
        <v/>
      </c>
      <c r="C26" s="21">
        <f>IF(22&lt;='Gold loan'!$B$24,MAX(0,ROUND(C25*(1+'Gold loan'!$B$30/1200)-B26,0)),0)</f>
        <v/>
      </c>
      <c r="D26" s="21">
        <f>IF(22='Gold loan'!$B$24,'Gold loan'!$C$32,0)</f>
        <v/>
      </c>
      <c r="E26" s="21">
        <f>IF(22&lt;='Gold loan'!$B$24,ROUND(IF(UPPER('Gold loan'!$B$27)="C",'Gold loan'!$B$21*(1+'Gold loan'!$C$30/1200)^22,'Gold loan'!$B$21*(1+'Gold loan'!$C$30/100*22/12)),0),0)</f>
        <v/>
      </c>
      <c r="F26" s="21">
        <f>IF(22&lt;='Gold loan'!$B$24,'Gold loan'!$D$31+IF(22='Gold loan'!$B$24,'Gold loan'!$B$21,0),0)</f>
        <v/>
      </c>
      <c r="G26" s="21">
        <f>IF(22&lt;'Gold loan'!$B$24,'Gold loan'!$B$21,0)</f>
        <v/>
      </c>
    </row>
    <row r="27">
      <c r="A27" s="5" t="n">
        <v>23</v>
      </c>
      <c r="B27" s="21">
        <f>IF(23&lt;='Gold loan'!$B$24,'Gold loan'!$B$31,0)</f>
        <v/>
      </c>
      <c r="C27" s="21">
        <f>IF(23&lt;='Gold loan'!$B$24,MAX(0,ROUND(C26*(1+'Gold loan'!$B$30/1200)-B27,0)),0)</f>
        <v/>
      </c>
      <c r="D27" s="21">
        <f>IF(23='Gold loan'!$B$24,'Gold loan'!$C$32,0)</f>
        <v/>
      </c>
      <c r="E27" s="21">
        <f>IF(23&lt;='Gold loan'!$B$24,ROUND(IF(UPPER('Gold loan'!$B$27)="C",'Gold loan'!$B$21*(1+'Gold loan'!$C$30/1200)^23,'Gold loan'!$B$21*(1+'Gold loan'!$C$30/100*23/12)),0),0)</f>
        <v/>
      </c>
      <c r="F27" s="21">
        <f>IF(23&lt;='Gold loan'!$B$24,'Gold loan'!$D$31+IF(23='Gold loan'!$B$24,'Gold loan'!$B$21,0),0)</f>
        <v/>
      </c>
      <c r="G27" s="21">
        <f>IF(23&lt;'Gold loan'!$B$24,'Gold loan'!$B$21,0)</f>
        <v/>
      </c>
    </row>
    <row r="28">
      <c r="A28" s="5" t="n">
        <v>24</v>
      </c>
      <c r="B28" s="21">
        <f>IF(24&lt;='Gold loan'!$B$24,'Gold loan'!$B$31,0)</f>
        <v/>
      </c>
      <c r="C28" s="21">
        <f>IF(24&lt;='Gold loan'!$B$24,MAX(0,ROUND(C27*(1+'Gold loan'!$B$30/1200)-B28,0)),0)</f>
        <v/>
      </c>
      <c r="D28" s="21">
        <f>IF(24='Gold loan'!$B$24,'Gold loan'!$C$32,0)</f>
        <v/>
      </c>
      <c r="E28" s="21">
        <f>IF(24&lt;='Gold loan'!$B$24,ROUND(IF(UPPER('Gold loan'!$B$27)="C",'Gold loan'!$B$21*(1+'Gold loan'!$C$30/1200)^24,'Gold loan'!$B$21*(1+'Gold loan'!$C$30/100*24/12)),0),0)</f>
        <v/>
      </c>
      <c r="F28" s="21">
        <f>IF(24&lt;='Gold loan'!$B$24,'Gold loan'!$D$31+IF(24='Gold loan'!$B$24,'Gold loan'!$B$21,0),0)</f>
        <v/>
      </c>
      <c r="G28" s="21">
        <f>IF(24&lt;'Gold loan'!$B$24,'Gold loan'!$B$21,0)</f>
        <v/>
      </c>
    </row>
    <row r="29">
      <c r="A29" s="5" t="n">
        <v>25</v>
      </c>
      <c r="B29" s="21">
        <f>IF(25&lt;='Gold loan'!$B$24,'Gold loan'!$B$31,0)</f>
        <v/>
      </c>
      <c r="C29" s="21">
        <f>IF(25&lt;='Gold loan'!$B$24,MAX(0,ROUND(C28*(1+'Gold loan'!$B$30/1200)-B29,0)),0)</f>
        <v/>
      </c>
      <c r="D29" s="21">
        <f>IF(25='Gold loan'!$B$24,'Gold loan'!$C$32,0)</f>
        <v/>
      </c>
      <c r="E29" s="21">
        <f>IF(25&lt;='Gold loan'!$B$24,ROUND(IF(UPPER('Gold loan'!$B$27)="C",'Gold loan'!$B$21*(1+'Gold loan'!$C$30/1200)^25,'Gold loan'!$B$21*(1+'Gold loan'!$C$30/100*25/12)),0),0)</f>
        <v/>
      </c>
      <c r="F29" s="21">
        <f>IF(25&lt;='Gold loan'!$B$24,'Gold loan'!$D$31+IF(25='Gold loan'!$B$24,'Gold loan'!$B$21,0),0)</f>
        <v/>
      </c>
      <c r="G29" s="21">
        <f>IF(25&lt;'Gold loan'!$B$24,'Gold loan'!$B$21,0)</f>
        <v/>
      </c>
    </row>
    <row r="30">
      <c r="A30" s="5" t="n">
        <v>26</v>
      </c>
      <c r="B30" s="21">
        <f>IF(26&lt;='Gold loan'!$B$24,'Gold loan'!$B$31,0)</f>
        <v/>
      </c>
      <c r="C30" s="21">
        <f>IF(26&lt;='Gold loan'!$B$24,MAX(0,ROUND(C29*(1+'Gold loan'!$B$30/1200)-B30,0)),0)</f>
        <v/>
      </c>
      <c r="D30" s="21">
        <f>IF(26='Gold loan'!$B$24,'Gold loan'!$C$32,0)</f>
        <v/>
      </c>
      <c r="E30" s="21">
        <f>IF(26&lt;='Gold loan'!$B$24,ROUND(IF(UPPER('Gold loan'!$B$27)="C",'Gold loan'!$B$21*(1+'Gold loan'!$C$30/1200)^26,'Gold loan'!$B$21*(1+'Gold loan'!$C$30/100*26/12)),0),0)</f>
        <v/>
      </c>
      <c r="F30" s="21">
        <f>IF(26&lt;='Gold loan'!$B$24,'Gold loan'!$D$31+IF(26='Gold loan'!$B$24,'Gold loan'!$B$21,0),0)</f>
        <v/>
      </c>
      <c r="G30" s="21">
        <f>IF(26&lt;'Gold loan'!$B$24,'Gold loan'!$B$21,0)</f>
        <v/>
      </c>
    </row>
    <row r="31">
      <c r="A31" s="5" t="n">
        <v>27</v>
      </c>
      <c r="B31" s="21">
        <f>IF(27&lt;='Gold loan'!$B$24,'Gold loan'!$B$31,0)</f>
        <v/>
      </c>
      <c r="C31" s="21">
        <f>IF(27&lt;='Gold loan'!$B$24,MAX(0,ROUND(C30*(1+'Gold loan'!$B$30/1200)-B31,0)),0)</f>
        <v/>
      </c>
      <c r="D31" s="21">
        <f>IF(27='Gold loan'!$B$24,'Gold loan'!$C$32,0)</f>
        <v/>
      </c>
      <c r="E31" s="21">
        <f>IF(27&lt;='Gold loan'!$B$24,ROUND(IF(UPPER('Gold loan'!$B$27)="C",'Gold loan'!$B$21*(1+'Gold loan'!$C$30/1200)^27,'Gold loan'!$B$21*(1+'Gold loan'!$C$30/100*27/12)),0),0)</f>
        <v/>
      </c>
      <c r="F31" s="21">
        <f>IF(27&lt;='Gold loan'!$B$24,'Gold loan'!$D$31+IF(27='Gold loan'!$B$24,'Gold loan'!$B$21,0),0)</f>
        <v/>
      </c>
      <c r="G31" s="21">
        <f>IF(27&lt;'Gold loan'!$B$24,'Gold loan'!$B$21,0)</f>
        <v/>
      </c>
    </row>
    <row r="32">
      <c r="A32" s="5" t="n">
        <v>28</v>
      </c>
      <c r="B32" s="21">
        <f>IF(28&lt;='Gold loan'!$B$24,'Gold loan'!$B$31,0)</f>
        <v/>
      </c>
      <c r="C32" s="21">
        <f>IF(28&lt;='Gold loan'!$B$24,MAX(0,ROUND(C31*(1+'Gold loan'!$B$30/1200)-B32,0)),0)</f>
        <v/>
      </c>
      <c r="D32" s="21">
        <f>IF(28='Gold loan'!$B$24,'Gold loan'!$C$32,0)</f>
        <v/>
      </c>
      <c r="E32" s="21">
        <f>IF(28&lt;='Gold loan'!$B$24,ROUND(IF(UPPER('Gold loan'!$B$27)="C",'Gold loan'!$B$21*(1+'Gold loan'!$C$30/1200)^28,'Gold loan'!$B$21*(1+'Gold loan'!$C$30/100*28/12)),0),0)</f>
        <v/>
      </c>
      <c r="F32" s="21">
        <f>IF(28&lt;='Gold loan'!$B$24,'Gold loan'!$D$31+IF(28='Gold loan'!$B$24,'Gold loan'!$B$21,0),0)</f>
        <v/>
      </c>
      <c r="G32" s="21">
        <f>IF(28&lt;'Gold loan'!$B$24,'Gold loan'!$B$21,0)</f>
        <v/>
      </c>
    </row>
    <row r="33">
      <c r="A33" s="5" t="n">
        <v>29</v>
      </c>
      <c r="B33" s="21">
        <f>IF(29&lt;='Gold loan'!$B$24,'Gold loan'!$B$31,0)</f>
        <v/>
      </c>
      <c r="C33" s="21">
        <f>IF(29&lt;='Gold loan'!$B$24,MAX(0,ROUND(C32*(1+'Gold loan'!$B$30/1200)-B33,0)),0)</f>
        <v/>
      </c>
      <c r="D33" s="21">
        <f>IF(29='Gold loan'!$B$24,'Gold loan'!$C$32,0)</f>
        <v/>
      </c>
      <c r="E33" s="21">
        <f>IF(29&lt;='Gold loan'!$B$24,ROUND(IF(UPPER('Gold loan'!$B$27)="C",'Gold loan'!$B$21*(1+'Gold loan'!$C$30/1200)^29,'Gold loan'!$B$21*(1+'Gold loan'!$C$30/100*29/12)),0),0)</f>
        <v/>
      </c>
      <c r="F33" s="21">
        <f>IF(29&lt;='Gold loan'!$B$24,'Gold loan'!$D$31+IF(29='Gold loan'!$B$24,'Gold loan'!$B$21,0),0)</f>
        <v/>
      </c>
      <c r="G33" s="21">
        <f>IF(29&lt;'Gold loan'!$B$24,'Gold loan'!$B$21,0)</f>
        <v/>
      </c>
    </row>
    <row r="34">
      <c r="A34" s="5" t="n">
        <v>30</v>
      </c>
      <c r="B34" s="21">
        <f>IF(30&lt;='Gold loan'!$B$24,'Gold loan'!$B$31,0)</f>
        <v/>
      </c>
      <c r="C34" s="21">
        <f>IF(30&lt;='Gold loan'!$B$24,MAX(0,ROUND(C33*(1+'Gold loan'!$B$30/1200)-B34,0)),0)</f>
        <v/>
      </c>
      <c r="D34" s="21">
        <f>IF(30='Gold loan'!$B$24,'Gold loan'!$C$32,0)</f>
        <v/>
      </c>
      <c r="E34" s="21">
        <f>IF(30&lt;='Gold loan'!$B$24,ROUND(IF(UPPER('Gold loan'!$B$27)="C",'Gold loan'!$B$21*(1+'Gold loan'!$C$30/1200)^30,'Gold loan'!$B$21*(1+'Gold loan'!$C$30/100*30/12)),0),0)</f>
        <v/>
      </c>
      <c r="F34" s="21">
        <f>IF(30&lt;='Gold loan'!$B$24,'Gold loan'!$D$31+IF(30='Gold loan'!$B$24,'Gold loan'!$B$21,0),0)</f>
        <v/>
      </c>
      <c r="G34" s="21">
        <f>IF(30&lt;'Gold loan'!$B$24,'Gold loan'!$B$21,0)</f>
        <v/>
      </c>
    </row>
    <row r="35">
      <c r="A35" s="5" t="n">
        <v>31</v>
      </c>
      <c r="B35" s="21">
        <f>IF(31&lt;='Gold loan'!$B$24,'Gold loan'!$B$31,0)</f>
        <v/>
      </c>
      <c r="C35" s="21">
        <f>IF(31&lt;='Gold loan'!$B$24,MAX(0,ROUND(C34*(1+'Gold loan'!$B$30/1200)-B35,0)),0)</f>
        <v/>
      </c>
      <c r="D35" s="21">
        <f>IF(31='Gold loan'!$B$24,'Gold loan'!$C$32,0)</f>
        <v/>
      </c>
      <c r="E35" s="21">
        <f>IF(31&lt;='Gold loan'!$B$24,ROUND(IF(UPPER('Gold loan'!$B$27)="C",'Gold loan'!$B$21*(1+'Gold loan'!$C$30/1200)^31,'Gold loan'!$B$21*(1+'Gold loan'!$C$30/100*31/12)),0),0)</f>
        <v/>
      </c>
      <c r="F35" s="21">
        <f>IF(31&lt;='Gold loan'!$B$24,'Gold loan'!$D$31+IF(31='Gold loan'!$B$24,'Gold loan'!$B$21,0),0)</f>
        <v/>
      </c>
      <c r="G35" s="21">
        <f>IF(31&lt;'Gold loan'!$B$24,'Gold loan'!$B$21,0)</f>
        <v/>
      </c>
    </row>
    <row r="36">
      <c r="A36" s="5" t="n">
        <v>32</v>
      </c>
      <c r="B36" s="21">
        <f>IF(32&lt;='Gold loan'!$B$24,'Gold loan'!$B$31,0)</f>
        <v/>
      </c>
      <c r="C36" s="21">
        <f>IF(32&lt;='Gold loan'!$B$24,MAX(0,ROUND(C35*(1+'Gold loan'!$B$30/1200)-B36,0)),0)</f>
        <v/>
      </c>
      <c r="D36" s="21">
        <f>IF(32='Gold loan'!$B$24,'Gold loan'!$C$32,0)</f>
        <v/>
      </c>
      <c r="E36" s="21">
        <f>IF(32&lt;='Gold loan'!$B$24,ROUND(IF(UPPER('Gold loan'!$B$27)="C",'Gold loan'!$B$21*(1+'Gold loan'!$C$30/1200)^32,'Gold loan'!$B$21*(1+'Gold loan'!$C$30/100*32/12)),0),0)</f>
        <v/>
      </c>
      <c r="F36" s="21">
        <f>IF(32&lt;='Gold loan'!$B$24,'Gold loan'!$D$31+IF(32='Gold loan'!$B$24,'Gold loan'!$B$21,0),0)</f>
        <v/>
      </c>
      <c r="G36" s="21">
        <f>IF(32&lt;'Gold loan'!$B$24,'Gold loan'!$B$21,0)</f>
        <v/>
      </c>
    </row>
    <row r="37">
      <c r="A37" s="5" t="n">
        <v>33</v>
      </c>
      <c r="B37" s="21">
        <f>IF(33&lt;='Gold loan'!$B$24,'Gold loan'!$B$31,0)</f>
        <v/>
      </c>
      <c r="C37" s="21">
        <f>IF(33&lt;='Gold loan'!$B$24,MAX(0,ROUND(C36*(1+'Gold loan'!$B$30/1200)-B37,0)),0)</f>
        <v/>
      </c>
      <c r="D37" s="21">
        <f>IF(33='Gold loan'!$B$24,'Gold loan'!$C$32,0)</f>
        <v/>
      </c>
      <c r="E37" s="21">
        <f>IF(33&lt;='Gold loan'!$B$24,ROUND(IF(UPPER('Gold loan'!$B$27)="C",'Gold loan'!$B$21*(1+'Gold loan'!$C$30/1200)^33,'Gold loan'!$B$21*(1+'Gold loan'!$C$30/100*33/12)),0),0)</f>
        <v/>
      </c>
      <c r="F37" s="21">
        <f>IF(33&lt;='Gold loan'!$B$24,'Gold loan'!$D$31+IF(33='Gold loan'!$B$24,'Gold loan'!$B$21,0),0)</f>
        <v/>
      </c>
      <c r="G37" s="21">
        <f>IF(33&lt;'Gold loan'!$B$24,'Gold loan'!$B$21,0)</f>
        <v/>
      </c>
    </row>
    <row r="38">
      <c r="A38" s="5" t="n">
        <v>34</v>
      </c>
      <c r="B38" s="21">
        <f>IF(34&lt;='Gold loan'!$B$24,'Gold loan'!$B$31,0)</f>
        <v/>
      </c>
      <c r="C38" s="21">
        <f>IF(34&lt;='Gold loan'!$B$24,MAX(0,ROUND(C37*(1+'Gold loan'!$B$30/1200)-B38,0)),0)</f>
        <v/>
      </c>
      <c r="D38" s="21">
        <f>IF(34='Gold loan'!$B$24,'Gold loan'!$C$32,0)</f>
        <v/>
      </c>
      <c r="E38" s="21">
        <f>IF(34&lt;='Gold loan'!$B$24,ROUND(IF(UPPER('Gold loan'!$B$27)="C",'Gold loan'!$B$21*(1+'Gold loan'!$C$30/1200)^34,'Gold loan'!$B$21*(1+'Gold loan'!$C$30/100*34/12)),0),0)</f>
        <v/>
      </c>
      <c r="F38" s="21">
        <f>IF(34&lt;='Gold loan'!$B$24,'Gold loan'!$D$31+IF(34='Gold loan'!$B$24,'Gold loan'!$B$21,0),0)</f>
        <v/>
      </c>
      <c r="G38" s="21">
        <f>IF(34&lt;'Gold loan'!$B$24,'Gold loan'!$B$21,0)</f>
        <v/>
      </c>
    </row>
    <row r="39">
      <c r="A39" s="5" t="n">
        <v>35</v>
      </c>
      <c r="B39" s="21">
        <f>IF(35&lt;='Gold loan'!$B$24,'Gold loan'!$B$31,0)</f>
        <v/>
      </c>
      <c r="C39" s="21">
        <f>IF(35&lt;='Gold loan'!$B$24,MAX(0,ROUND(C38*(1+'Gold loan'!$B$30/1200)-B39,0)),0)</f>
        <v/>
      </c>
      <c r="D39" s="21">
        <f>IF(35='Gold loan'!$B$24,'Gold loan'!$C$32,0)</f>
        <v/>
      </c>
      <c r="E39" s="21">
        <f>IF(35&lt;='Gold loan'!$B$24,ROUND(IF(UPPER('Gold loan'!$B$27)="C",'Gold loan'!$B$21*(1+'Gold loan'!$C$30/1200)^35,'Gold loan'!$B$21*(1+'Gold loan'!$C$30/100*35/12)),0),0)</f>
        <v/>
      </c>
      <c r="F39" s="21">
        <f>IF(35&lt;='Gold loan'!$B$24,'Gold loan'!$D$31+IF(35='Gold loan'!$B$24,'Gold loan'!$B$21,0),0)</f>
        <v/>
      </c>
      <c r="G39" s="21">
        <f>IF(35&lt;'Gold loan'!$B$24,'Gold loan'!$B$21,0)</f>
        <v/>
      </c>
    </row>
    <row r="40">
      <c r="A40" s="5" t="n">
        <v>36</v>
      </c>
      <c r="B40" s="21">
        <f>IF(36&lt;='Gold loan'!$B$24,'Gold loan'!$B$31,0)</f>
        <v/>
      </c>
      <c r="C40" s="21">
        <f>IF(36&lt;='Gold loan'!$B$24,MAX(0,ROUND(C39*(1+'Gold loan'!$B$30/1200)-B40,0)),0)</f>
        <v/>
      </c>
      <c r="D40" s="21">
        <f>IF(36='Gold loan'!$B$24,'Gold loan'!$C$32,0)</f>
        <v/>
      </c>
      <c r="E40" s="21">
        <f>IF(36&lt;='Gold loan'!$B$24,ROUND(IF(UPPER('Gold loan'!$B$27)="C",'Gold loan'!$B$21*(1+'Gold loan'!$C$30/1200)^36,'Gold loan'!$B$21*(1+'Gold loan'!$C$30/100*36/12)),0),0)</f>
        <v/>
      </c>
      <c r="F40" s="21">
        <f>IF(36&lt;='Gold loan'!$B$24,'Gold loan'!$D$31+IF(36='Gold loan'!$B$24,'Gold loan'!$B$21,0),0)</f>
        <v/>
      </c>
      <c r="G40" s="21">
        <f>IF(36&lt;'Gold loan'!$B$24,'Gold loan'!$B$21,0)</f>
        <v/>
      </c>
    </row>
    <row r="42">
      <c r="A42" s="2" t="inlineStr">
        <is>
          <t>EMI: the last month's 'still owed' can show a few rupees because the EMI is rounded. Bullet: interest is paid with the principal at the end. Interest-only: the principal is repaid in the last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2026-10-27T09:34:45Z</dcterms:created>
  <dcterms:modified xmlns:dcterms="http://purl.org/dc/terms/" xmlns:xsi="http://www.w3.org/2001/XMLSchema-instance" xsi:type="dcterms:W3CDTF">2026-10-27T09:34:45Z</dcterms:modified>
</cp:coreProperties>
</file>