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dd-mmm-yyyy"/>
  </numFmts>
  <fonts count="8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b val="1"/>
      <color rgb="00B3261E"/>
    </font>
    <font>
      <color rgb="008A919C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0" fillId="3" borderId="1" pivotButton="0" quotePrefix="0" xfId="0"/>
    <xf numFmtId="165" fontId="0" fillId="3" borderId="1" pivotButton="0" quotePrefix="0" xfId="0"/>
    <xf numFmtId="164" fontId="4" fillId="4" borderId="1" pivotButton="0" quotePrefix="0" xfId="0"/>
    <xf numFmtId="1" fontId="4" fillId="4" borderId="1" pivotButton="0" quotePrefix="0" xfId="0"/>
    <xf numFmtId="0" fontId="5" fillId="0" borderId="0" pivotButton="0" quotePrefix="0" xfId="0"/>
    <xf numFmtId="0" fontId="3" fillId="2" borderId="0" applyAlignment="1" pivotButton="0" quotePrefix="0" xfId="0">
      <alignment vertical="center" wrapText="1"/>
    </xf>
    <xf numFmtId="165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4" fontId="6" fillId="0" borderId="0" pivotButton="0" quotePrefix="0" xfId="0"/>
    <xf numFmtId="2" fontId="0" fillId="3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emi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86"/>
  <sheetViews>
    <sheetView workbookViewId="0">
      <pane ySplit="21" topLeftCell="A2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  <col width="18" customWidth="1" min="10" max="10"/>
    <col width="18" customWidth="1" min="11" max="11"/>
    <col width="18" customWidth="1" min="12" max="12"/>
    <col width="18" customWidth="1" min="13" max="13"/>
  </cols>
  <sheetData>
    <row r="1">
      <c r="A1" s="1" t="inlineStr">
        <is>
          <t>Home loan amortization schedule with prepayments</t>
        </is>
      </c>
    </row>
    <row r="2">
      <c r="A2" s="2" t="inlineStr">
        <is>
          <t>Yellow cells are yours: the loan, a regular extra each month, one-off prepayments (column H) and rate changes (column M).</t>
        </is>
      </c>
    </row>
    <row r="4">
      <c r="A4" s="3" t="inlineStr">
        <is>
          <t>Your loan</t>
        </is>
      </c>
      <c r="B4" s="4" t="n"/>
    </row>
    <row r="5">
      <c r="A5" s="5" t="inlineStr">
        <is>
          <t>Loan amount (₹)</t>
        </is>
      </c>
      <c r="B5" s="6" t="n">
        <v>3000000</v>
      </c>
    </row>
    <row r="6">
      <c r="A6" s="5" t="inlineStr">
        <is>
          <t>Starting interest rate (% a year)</t>
        </is>
      </c>
      <c r="B6" s="7" t="n">
        <v>8.5</v>
      </c>
      <c r="C6" s="2" t="inlineStr">
        <is>
          <t>Floating rate reset? Type the new rate in column M in that month; it carries forward</t>
        </is>
      </c>
    </row>
    <row r="7">
      <c r="A7" s="5" t="inlineStr">
        <is>
          <t>Tenure (months)</t>
        </is>
      </c>
      <c r="B7" s="8" t="n">
        <v>240</v>
      </c>
      <c r="C7" s="2" t="inlineStr">
        <is>
          <t>Max 360</t>
        </is>
      </c>
    </row>
    <row r="8">
      <c r="A8" s="5" t="inlineStr">
        <is>
          <t>First EMI date</t>
        </is>
      </c>
      <c r="B8" s="9">
        <f>DATE(2026,11,5)</f>
        <v/>
      </c>
    </row>
    <row r="9">
      <c r="A9" s="5" t="inlineStr">
        <is>
          <t>Regular extra every month (₹)</t>
        </is>
      </c>
      <c r="B9" s="6" t="n">
        <v>0</v>
      </c>
      <c r="C9" s="2" t="inlineStr">
        <is>
          <t>e.g. 2000 on top of the EMI; 0 if none</t>
        </is>
      </c>
    </row>
    <row r="11">
      <c r="A11" s="3" t="inlineStr">
        <is>
          <t>Without prepayments</t>
        </is>
      </c>
      <c r="B11" s="4" t="n"/>
    </row>
    <row r="12">
      <c r="A12" s="5" t="inlineStr">
        <is>
          <t>EMI</t>
        </is>
      </c>
      <c r="B12" s="10">
        <f>ROUND(PMT(B6/1200,B7,-B5),0)</f>
        <v/>
      </c>
    </row>
    <row r="13">
      <c r="A13" s="5" t="inlineStr">
        <is>
          <t>Total interest</t>
        </is>
      </c>
      <c r="B13" s="10">
        <f>SUM(K22:K381)</f>
        <v/>
      </c>
      <c r="C13" s="2" t="inlineStr">
        <is>
          <t>From the no-prepayment schedule in columns J to L</t>
        </is>
      </c>
    </row>
    <row r="15">
      <c r="A15" s="3" t="inlineStr">
        <is>
          <t>With your prepayments</t>
        </is>
      </c>
      <c r="B15" s="4" t="n"/>
    </row>
    <row r="16">
      <c r="A16" s="5" t="inlineStr">
        <is>
          <t>Months to close the loan</t>
        </is>
      </c>
      <c r="B16" s="11">
        <f>COUNTIF(C22:C381,"&gt;0")</f>
        <v/>
      </c>
    </row>
    <row r="17">
      <c r="A17" s="5" t="inlineStr">
        <is>
          <t>Months saved</t>
        </is>
      </c>
      <c r="B17" s="11">
        <f>B7-B16</f>
        <v/>
      </c>
    </row>
    <row r="18">
      <c r="A18" s="5" t="inlineStr">
        <is>
          <t>Total interest</t>
        </is>
      </c>
      <c r="B18" s="10">
        <f>SUM(E22:E381)</f>
        <v/>
      </c>
    </row>
    <row r="19">
      <c r="A19" s="5" t="inlineStr">
        <is>
          <t>Interest saved</t>
        </is>
      </c>
      <c r="B19" s="10">
        <f>B13-B18</f>
        <v/>
      </c>
    </row>
    <row r="20">
      <c r="A20" s="12">
        <f>IF(I381&gt;0,"Warning: the loan is not repaid within 360 months at these rates (EMI kept fixed). Raise the EMI or prepay.","")</f>
        <v/>
      </c>
    </row>
    <row r="21" ht="30" customHeight="1">
      <c r="A21" s="13" t="inlineStr">
        <is>
          <t>Month</t>
        </is>
      </c>
      <c r="B21" s="13" t="inlineStr">
        <is>
          <t>EMI date</t>
        </is>
      </c>
      <c r="C21" s="13" t="inlineStr">
        <is>
          <t>Opening balance</t>
        </is>
      </c>
      <c r="D21" s="13" t="inlineStr">
        <is>
          <t>EMI paid</t>
        </is>
      </c>
      <c r="E21" s="13" t="inlineStr">
        <is>
          <t>Interest</t>
        </is>
      </c>
      <c r="F21" s="13" t="inlineStr">
        <is>
          <t>Principal</t>
        </is>
      </c>
      <c r="G21" s="13" t="inlineStr">
        <is>
          <t>Regular extra</t>
        </is>
      </c>
      <c r="H21" s="13" t="inlineStr">
        <is>
          <t>One-off prepayment (type here)</t>
        </is>
      </c>
      <c r="I21" s="13" t="inlineStr">
        <is>
          <t>Closing balance</t>
        </is>
      </c>
      <c r="J21" s="13" t="inlineStr">
        <is>
          <t>No prepayment: opening</t>
        </is>
      </c>
      <c r="K21" s="13" t="inlineStr">
        <is>
          <t>No prepayment: interest</t>
        </is>
      </c>
      <c r="L21" s="13" t="inlineStr">
        <is>
          <t>No prepayment: closing</t>
        </is>
      </c>
      <c r="M21" s="13" t="inlineStr">
        <is>
          <t>Rate % a year (type a new rate in the month it changes)</t>
        </is>
      </c>
    </row>
    <row r="22">
      <c r="A22" t="n">
        <v>1</v>
      </c>
      <c r="B22" s="14">
        <f>EDATE($B$8,0)</f>
        <v/>
      </c>
      <c r="C22" s="15">
        <f>B5</f>
        <v/>
      </c>
      <c r="D22" s="15">
        <f>IF(C22&lt;=0,0,MIN($B$12,C22+E22))</f>
        <v/>
      </c>
      <c r="E22" s="15">
        <f>ROUND(C22*M22/1200,0)</f>
        <v/>
      </c>
      <c r="F22" s="15">
        <f>D22-E22</f>
        <v/>
      </c>
      <c r="G22" s="15">
        <f>IF(C22&lt;=0,0,MIN($B$9,C22-F22))</f>
        <v/>
      </c>
      <c r="H22" s="16" t="n"/>
      <c r="I22" s="15">
        <f>MAX(0,C22-F22-G22-MIN(N(H22),MAX(0,C22-F22-G22)))</f>
        <v/>
      </c>
      <c r="J22" s="17">
        <f>B5</f>
        <v/>
      </c>
      <c r="K22" s="17">
        <f>ROUND(J22*M22/1200,0)</f>
        <v/>
      </c>
      <c r="L22" s="17">
        <f>MAX(0,J22-(MIN($B$12,J22+K22)-K22))</f>
        <v/>
      </c>
      <c r="M22" s="18">
        <f>$B$6</f>
        <v/>
      </c>
    </row>
    <row r="23">
      <c r="A23" t="n">
        <v>2</v>
      </c>
      <c r="B23" s="14">
        <f>EDATE($B$8,1)</f>
        <v/>
      </c>
      <c r="C23" s="15">
        <f>I22</f>
        <v/>
      </c>
      <c r="D23" s="15">
        <f>IF(C23&lt;=0,0,MIN($B$12,C23+E23))</f>
        <v/>
      </c>
      <c r="E23" s="15">
        <f>ROUND(C23*M23/1200,0)</f>
        <v/>
      </c>
      <c r="F23" s="15">
        <f>D23-E23</f>
        <v/>
      </c>
      <c r="G23" s="15">
        <f>IF(C23&lt;=0,0,MIN($B$9,C23-F23))</f>
        <v/>
      </c>
      <c r="H23" s="16" t="n"/>
      <c r="I23" s="15">
        <f>MAX(0,C23-F23-G23-MIN(N(H23),MAX(0,C23-F23-G23)))</f>
        <v/>
      </c>
      <c r="J23" s="17">
        <f>L22</f>
        <v/>
      </c>
      <c r="K23" s="17">
        <f>ROUND(J23*M23/1200,0)</f>
        <v/>
      </c>
      <c r="L23" s="17">
        <f>MAX(0,J23-(MIN($B$12,J23+K23)-K23))</f>
        <v/>
      </c>
      <c r="M23" s="18">
        <f>M22</f>
        <v/>
      </c>
    </row>
    <row r="24">
      <c r="A24" t="n">
        <v>3</v>
      </c>
      <c r="B24" s="14">
        <f>EDATE($B$8,2)</f>
        <v/>
      </c>
      <c r="C24" s="15">
        <f>I23</f>
        <v/>
      </c>
      <c r="D24" s="15">
        <f>IF(C24&lt;=0,0,MIN($B$12,C24+E24))</f>
        <v/>
      </c>
      <c r="E24" s="15">
        <f>ROUND(C24*M24/1200,0)</f>
        <v/>
      </c>
      <c r="F24" s="15">
        <f>D24-E24</f>
        <v/>
      </c>
      <c r="G24" s="15">
        <f>IF(C24&lt;=0,0,MIN($B$9,C24-F24))</f>
        <v/>
      </c>
      <c r="H24" s="16" t="n"/>
      <c r="I24" s="15">
        <f>MAX(0,C24-F24-G24-MIN(N(H24),MAX(0,C24-F24-G24)))</f>
        <v/>
      </c>
      <c r="J24" s="17">
        <f>L23</f>
        <v/>
      </c>
      <c r="K24" s="17">
        <f>ROUND(J24*M24/1200,0)</f>
        <v/>
      </c>
      <c r="L24" s="17">
        <f>MAX(0,J24-(MIN($B$12,J24+K24)-K24))</f>
        <v/>
      </c>
      <c r="M24" s="18">
        <f>M23</f>
        <v/>
      </c>
    </row>
    <row r="25">
      <c r="A25" t="n">
        <v>4</v>
      </c>
      <c r="B25" s="14">
        <f>EDATE($B$8,3)</f>
        <v/>
      </c>
      <c r="C25" s="15">
        <f>I24</f>
        <v/>
      </c>
      <c r="D25" s="15">
        <f>IF(C25&lt;=0,0,MIN($B$12,C25+E25))</f>
        <v/>
      </c>
      <c r="E25" s="15">
        <f>ROUND(C25*M25/1200,0)</f>
        <v/>
      </c>
      <c r="F25" s="15">
        <f>D25-E25</f>
        <v/>
      </c>
      <c r="G25" s="15">
        <f>IF(C25&lt;=0,0,MIN($B$9,C25-F25))</f>
        <v/>
      </c>
      <c r="H25" s="16" t="n"/>
      <c r="I25" s="15">
        <f>MAX(0,C25-F25-G25-MIN(N(H25),MAX(0,C25-F25-G25)))</f>
        <v/>
      </c>
      <c r="J25" s="17">
        <f>L24</f>
        <v/>
      </c>
      <c r="K25" s="17">
        <f>ROUND(J25*M25/1200,0)</f>
        <v/>
      </c>
      <c r="L25" s="17">
        <f>MAX(0,J25-(MIN($B$12,J25+K25)-K25))</f>
        <v/>
      </c>
      <c r="M25" s="18">
        <f>M24</f>
        <v/>
      </c>
    </row>
    <row r="26">
      <c r="A26" t="n">
        <v>5</v>
      </c>
      <c r="B26" s="14">
        <f>EDATE($B$8,4)</f>
        <v/>
      </c>
      <c r="C26" s="15">
        <f>I25</f>
        <v/>
      </c>
      <c r="D26" s="15">
        <f>IF(C26&lt;=0,0,MIN($B$12,C26+E26))</f>
        <v/>
      </c>
      <c r="E26" s="15">
        <f>ROUND(C26*M26/1200,0)</f>
        <v/>
      </c>
      <c r="F26" s="15">
        <f>D26-E26</f>
        <v/>
      </c>
      <c r="G26" s="15">
        <f>IF(C26&lt;=0,0,MIN($B$9,C26-F26))</f>
        <v/>
      </c>
      <c r="H26" s="16" t="n"/>
      <c r="I26" s="15">
        <f>MAX(0,C26-F26-G26-MIN(N(H26),MAX(0,C26-F26-G26)))</f>
        <v/>
      </c>
      <c r="J26" s="17">
        <f>L25</f>
        <v/>
      </c>
      <c r="K26" s="17">
        <f>ROUND(J26*M26/1200,0)</f>
        <v/>
      </c>
      <c r="L26" s="17">
        <f>MAX(0,J26-(MIN($B$12,J26+K26)-K26))</f>
        <v/>
      </c>
      <c r="M26" s="18">
        <f>M25</f>
        <v/>
      </c>
    </row>
    <row r="27">
      <c r="A27" t="n">
        <v>6</v>
      </c>
      <c r="B27" s="14">
        <f>EDATE($B$8,5)</f>
        <v/>
      </c>
      <c r="C27" s="15">
        <f>I26</f>
        <v/>
      </c>
      <c r="D27" s="15">
        <f>IF(C27&lt;=0,0,MIN($B$12,C27+E27))</f>
        <v/>
      </c>
      <c r="E27" s="15">
        <f>ROUND(C27*M27/1200,0)</f>
        <v/>
      </c>
      <c r="F27" s="15">
        <f>D27-E27</f>
        <v/>
      </c>
      <c r="G27" s="15">
        <f>IF(C27&lt;=0,0,MIN($B$9,C27-F27))</f>
        <v/>
      </c>
      <c r="H27" s="16" t="n"/>
      <c r="I27" s="15">
        <f>MAX(0,C27-F27-G27-MIN(N(H27),MAX(0,C27-F27-G27)))</f>
        <v/>
      </c>
      <c r="J27" s="17">
        <f>L26</f>
        <v/>
      </c>
      <c r="K27" s="17">
        <f>ROUND(J27*M27/1200,0)</f>
        <v/>
      </c>
      <c r="L27" s="17">
        <f>MAX(0,J27-(MIN($B$12,J27+K27)-K27))</f>
        <v/>
      </c>
      <c r="M27" s="18">
        <f>M26</f>
        <v/>
      </c>
    </row>
    <row r="28">
      <c r="A28" t="n">
        <v>7</v>
      </c>
      <c r="B28" s="14">
        <f>EDATE($B$8,6)</f>
        <v/>
      </c>
      <c r="C28" s="15">
        <f>I27</f>
        <v/>
      </c>
      <c r="D28" s="15">
        <f>IF(C28&lt;=0,0,MIN($B$12,C28+E28))</f>
        <v/>
      </c>
      <c r="E28" s="15">
        <f>ROUND(C28*M28/1200,0)</f>
        <v/>
      </c>
      <c r="F28" s="15">
        <f>D28-E28</f>
        <v/>
      </c>
      <c r="G28" s="15">
        <f>IF(C28&lt;=0,0,MIN($B$9,C28-F28))</f>
        <v/>
      </c>
      <c r="H28" s="16" t="n"/>
      <c r="I28" s="15">
        <f>MAX(0,C28-F28-G28-MIN(N(H28),MAX(0,C28-F28-G28)))</f>
        <v/>
      </c>
      <c r="J28" s="17">
        <f>L27</f>
        <v/>
      </c>
      <c r="K28" s="17">
        <f>ROUND(J28*M28/1200,0)</f>
        <v/>
      </c>
      <c r="L28" s="17">
        <f>MAX(0,J28-(MIN($B$12,J28+K28)-K28))</f>
        <v/>
      </c>
      <c r="M28" s="18">
        <f>M27</f>
        <v/>
      </c>
    </row>
    <row r="29">
      <c r="A29" t="n">
        <v>8</v>
      </c>
      <c r="B29" s="14">
        <f>EDATE($B$8,7)</f>
        <v/>
      </c>
      <c r="C29" s="15">
        <f>I28</f>
        <v/>
      </c>
      <c r="D29" s="15">
        <f>IF(C29&lt;=0,0,MIN($B$12,C29+E29))</f>
        <v/>
      </c>
      <c r="E29" s="15">
        <f>ROUND(C29*M29/1200,0)</f>
        <v/>
      </c>
      <c r="F29" s="15">
        <f>D29-E29</f>
        <v/>
      </c>
      <c r="G29" s="15">
        <f>IF(C29&lt;=0,0,MIN($B$9,C29-F29))</f>
        <v/>
      </c>
      <c r="H29" s="16" t="n"/>
      <c r="I29" s="15">
        <f>MAX(0,C29-F29-G29-MIN(N(H29),MAX(0,C29-F29-G29)))</f>
        <v/>
      </c>
      <c r="J29" s="17">
        <f>L28</f>
        <v/>
      </c>
      <c r="K29" s="17">
        <f>ROUND(J29*M29/1200,0)</f>
        <v/>
      </c>
      <c r="L29" s="17">
        <f>MAX(0,J29-(MIN($B$12,J29+K29)-K29))</f>
        <v/>
      </c>
      <c r="M29" s="18">
        <f>M28</f>
        <v/>
      </c>
    </row>
    <row r="30">
      <c r="A30" t="n">
        <v>9</v>
      </c>
      <c r="B30" s="14">
        <f>EDATE($B$8,8)</f>
        <v/>
      </c>
      <c r="C30" s="15">
        <f>I29</f>
        <v/>
      </c>
      <c r="D30" s="15">
        <f>IF(C30&lt;=0,0,MIN($B$12,C30+E30))</f>
        <v/>
      </c>
      <c r="E30" s="15">
        <f>ROUND(C30*M30/1200,0)</f>
        <v/>
      </c>
      <c r="F30" s="15">
        <f>D30-E30</f>
        <v/>
      </c>
      <c r="G30" s="15">
        <f>IF(C30&lt;=0,0,MIN($B$9,C30-F30))</f>
        <v/>
      </c>
      <c r="H30" s="16" t="n"/>
      <c r="I30" s="15">
        <f>MAX(0,C30-F30-G30-MIN(N(H30),MAX(0,C30-F30-G30)))</f>
        <v/>
      </c>
      <c r="J30" s="17">
        <f>L29</f>
        <v/>
      </c>
      <c r="K30" s="17">
        <f>ROUND(J30*M30/1200,0)</f>
        <v/>
      </c>
      <c r="L30" s="17">
        <f>MAX(0,J30-(MIN($B$12,J30+K30)-K30))</f>
        <v/>
      </c>
      <c r="M30" s="18">
        <f>M29</f>
        <v/>
      </c>
    </row>
    <row r="31">
      <c r="A31" t="n">
        <v>10</v>
      </c>
      <c r="B31" s="14">
        <f>EDATE($B$8,9)</f>
        <v/>
      </c>
      <c r="C31" s="15">
        <f>I30</f>
        <v/>
      </c>
      <c r="D31" s="15">
        <f>IF(C31&lt;=0,0,MIN($B$12,C31+E31))</f>
        <v/>
      </c>
      <c r="E31" s="15">
        <f>ROUND(C31*M31/1200,0)</f>
        <v/>
      </c>
      <c r="F31" s="15">
        <f>D31-E31</f>
        <v/>
      </c>
      <c r="G31" s="15">
        <f>IF(C31&lt;=0,0,MIN($B$9,C31-F31))</f>
        <v/>
      </c>
      <c r="H31" s="16" t="n"/>
      <c r="I31" s="15">
        <f>MAX(0,C31-F31-G31-MIN(N(H31),MAX(0,C31-F31-G31)))</f>
        <v/>
      </c>
      <c r="J31" s="17">
        <f>L30</f>
        <v/>
      </c>
      <c r="K31" s="17">
        <f>ROUND(J31*M31/1200,0)</f>
        <v/>
      </c>
      <c r="L31" s="17">
        <f>MAX(0,J31-(MIN($B$12,J31+K31)-K31))</f>
        <v/>
      </c>
      <c r="M31" s="18">
        <f>M30</f>
        <v/>
      </c>
    </row>
    <row r="32">
      <c r="A32" t="n">
        <v>11</v>
      </c>
      <c r="B32" s="14">
        <f>EDATE($B$8,10)</f>
        <v/>
      </c>
      <c r="C32" s="15">
        <f>I31</f>
        <v/>
      </c>
      <c r="D32" s="15">
        <f>IF(C32&lt;=0,0,MIN($B$12,C32+E32))</f>
        <v/>
      </c>
      <c r="E32" s="15">
        <f>ROUND(C32*M32/1200,0)</f>
        <v/>
      </c>
      <c r="F32" s="15">
        <f>D32-E32</f>
        <v/>
      </c>
      <c r="G32" s="15">
        <f>IF(C32&lt;=0,0,MIN($B$9,C32-F32))</f>
        <v/>
      </c>
      <c r="H32" s="16" t="n"/>
      <c r="I32" s="15">
        <f>MAX(0,C32-F32-G32-MIN(N(H32),MAX(0,C32-F32-G32)))</f>
        <v/>
      </c>
      <c r="J32" s="17">
        <f>L31</f>
        <v/>
      </c>
      <c r="K32" s="17">
        <f>ROUND(J32*M32/1200,0)</f>
        <v/>
      </c>
      <c r="L32" s="17">
        <f>MAX(0,J32-(MIN($B$12,J32+K32)-K32))</f>
        <v/>
      </c>
      <c r="M32" s="18">
        <f>M31</f>
        <v/>
      </c>
    </row>
    <row r="33">
      <c r="A33" t="n">
        <v>12</v>
      </c>
      <c r="B33" s="14">
        <f>EDATE($B$8,11)</f>
        <v/>
      </c>
      <c r="C33" s="15">
        <f>I32</f>
        <v/>
      </c>
      <c r="D33" s="15">
        <f>IF(C33&lt;=0,0,MIN($B$12,C33+E33))</f>
        <v/>
      </c>
      <c r="E33" s="15">
        <f>ROUND(C33*M33/1200,0)</f>
        <v/>
      </c>
      <c r="F33" s="15">
        <f>D33-E33</f>
        <v/>
      </c>
      <c r="G33" s="15">
        <f>IF(C33&lt;=0,0,MIN($B$9,C33-F33))</f>
        <v/>
      </c>
      <c r="H33" s="16" t="n"/>
      <c r="I33" s="15">
        <f>MAX(0,C33-F33-G33-MIN(N(H33),MAX(0,C33-F33-G33)))</f>
        <v/>
      </c>
      <c r="J33" s="17">
        <f>L32</f>
        <v/>
      </c>
      <c r="K33" s="17">
        <f>ROUND(J33*M33/1200,0)</f>
        <v/>
      </c>
      <c r="L33" s="17">
        <f>MAX(0,J33-(MIN($B$12,J33+K33)-K33))</f>
        <v/>
      </c>
      <c r="M33" s="18">
        <f>M32</f>
        <v/>
      </c>
    </row>
    <row r="34">
      <c r="A34" t="n">
        <v>13</v>
      </c>
      <c r="B34" s="14">
        <f>EDATE($B$8,12)</f>
        <v/>
      </c>
      <c r="C34" s="15">
        <f>I33</f>
        <v/>
      </c>
      <c r="D34" s="15">
        <f>IF(C34&lt;=0,0,MIN($B$12,C34+E34))</f>
        <v/>
      </c>
      <c r="E34" s="15">
        <f>ROUND(C34*M34/1200,0)</f>
        <v/>
      </c>
      <c r="F34" s="15">
        <f>D34-E34</f>
        <v/>
      </c>
      <c r="G34" s="15">
        <f>IF(C34&lt;=0,0,MIN($B$9,C34-F34))</f>
        <v/>
      </c>
      <c r="H34" s="16" t="n"/>
      <c r="I34" s="15">
        <f>MAX(0,C34-F34-G34-MIN(N(H34),MAX(0,C34-F34-G34)))</f>
        <v/>
      </c>
      <c r="J34" s="17">
        <f>L33</f>
        <v/>
      </c>
      <c r="K34" s="17">
        <f>ROUND(J34*M34/1200,0)</f>
        <v/>
      </c>
      <c r="L34" s="17">
        <f>MAX(0,J34-(MIN($B$12,J34+K34)-K34))</f>
        <v/>
      </c>
      <c r="M34" s="18">
        <f>M33</f>
        <v/>
      </c>
    </row>
    <row r="35">
      <c r="A35" t="n">
        <v>14</v>
      </c>
      <c r="B35" s="14">
        <f>EDATE($B$8,13)</f>
        <v/>
      </c>
      <c r="C35" s="15">
        <f>I34</f>
        <v/>
      </c>
      <c r="D35" s="15">
        <f>IF(C35&lt;=0,0,MIN($B$12,C35+E35))</f>
        <v/>
      </c>
      <c r="E35" s="15">
        <f>ROUND(C35*M35/1200,0)</f>
        <v/>
      </c>
      <c r="F35" s="15">
        <f>D35-E35</f>
        <v/>
      </c>
      <c r="G35" s="15">
        <f>IF(C35&lt;=0,0,MIN($B$9,C35-F35))</f>
        <v/>
      </c>
      <c r="H35" s="16" t="n"/>
      <c r="I35" s="15">
        <f>MAX(0,C35-F35-G35-MIN(N(H35),MAX(0,C35-F35-G35)))</f>
        <v/>
      </c>
      <c r="J35" s="17">
        <f>L34</f>
        <v/>
      </c>
      <c r="K35" s="17">
        <f>ROUND(J35*M35/1200,0)</f>
        <v/>
      </c>
      <c r="L35" s="17">
        <f>MAX(0,J35-(MIN($B$12,J35+K35)-K35))</f>
        <v/>
      </c>
      <c r="M35" s="18">
        <f>M34</f>
        <v/>
      </c>
    </row>
    <row r="36">
      <c r="A36" t="n">
        <v>15</v>
      </c>
      <c r="B36" s="14">
        <f>EDATE($B$8,14)</f>
        <v/>
      </c>
      <c r="C36" s="15">
        <f>I35</f>
        <v/>
      </c>
      <c r="D36" s="15">
        <f>IF(C36&lt;=0,0,MIN($B$12,C36+E36))</f>
        <v/>
      </c>
      <c r="E36" s="15">
        <f>ROUND(C36*M36/1200,0)</f>
        <v/>
      </c>
      <c r="F36" s="15">
        <f>D36-E36</f>
        <v/>
      </c>
      <c r="G36" s="15">
        <f>IF(C36&lt;=0,0,MIN($B$9,C36-F36))</f>
        <v/>
      </c>
      <c r="H36" s="16" t="n"/>
      <c r="I36" s="15">
        <f>MAX(0,C36-F36-G36-MIN(N(H36),MAX(0,C36-F36-G36)))</f>
        <v/>
      </c>
      <c r="J36" s="17">
        <f>L35</f>
        <v/>
      </c>
      <c r="K36" s="17">
        <f>ROUND(J36*M36/1200,0)</f>
        <v/>
      </c>
      <c r="L36" s="17">
        <f>MAX(0,J36-(MIN($B$12,J36+K36)-K36))</f>
        <v/>
      </c>
      <c r="M36" s="18">
        <f>M35</f>
        <v/>
      </c>
    </row>
    <row r="37">
      <c r="A37" t="n">
        <v>16</v>
      </c>
      <c r="B37" s="14">
        <f>EDATE($B$8,15)</f>
        <v/>
      </c>
      <c r="C37" s="15">
        <f>I36</f>
        <v/>
      </c>
      <c r="D37" s="15">
        <f>IF(C37&lt;=0,0,MIN($B$12,C37+E37))</f>
        <v/>
      </c>
      <c r="E37" s="15">
        <f>ROUND(C37*M37/1200,0)</f>
        <v/>
      </c>
      <c r="F37" s="15">
        <f>D37-E37</f>
        <v/>
      </c>
      <c r="G37" s="15">
        <f>IF(C37&lt;=0,0,MIN($B$9,C37-F37))</f>
        <v/>
      </c>
      <c r="H37" s="16" t="n"/>
      <c r="I37" s="15">
        <f>MAX(0,C37-F37-G37-MIN(N(H37),MAX(0,C37-F37-G37)))</f>
        <v/>
      </c>
      <c r="J37" s="17">
        <f>L36</f>
        <v/>
      </c>
      <c r="K37" s="17">
        <f>ROUND(J37*M37/1200,0)</f>
        <v/>
      </c>
      <c r="L37" s="17">
        <f>MAX(0,J37-(MIN($B$12,J37+K37)-K37))</f>
        <v/>
      </c>
      <c r="M37" s="18">
        <f>M36</f>
        <v/>
      </c>
    </row>
    <row r="38">
      <c r="A38" t="n">
        <v>17</v>
      </c>
      <c r="B38" s="14">
        <f>EDATE($B$8,16)</f>
        <v/>
      </c>
      <c r="C38" s="15">
        <f>I37</f>
        <v/>
      </c>
      <c r="D38" s="15">
        <f>IF(C38&lt;=0,0,MIN($B$12,C38+E38))</f>
        <v/>
      </c>
      <c r="E38" s="15">
        <f>ROUND(C38*M38/1200,0)</f>
        <v/>
      </c>
      <c r="F38" s="15">
        <f>D38-E38</f>
        <v/>
      </c>
      <c r="G38" s="15">
        <f>IF(C38&lt;=0,0,MIN($B$9,C38-F38))</f>
        <v/>
      </c>
      <c r="H38" s="16" t="n"/>
      <c r="I38" s="15">
        <f>MAX(0,C38-F38-G38-MIN(N(H38),MAX(0,C38-F38-G38)))</f>
        <v/>
      </c>
      <c r="J38" s="17">
        <f>L37</f>
        <v/>
      </c>
      <c r="K38" s="17">
        <f>ROUND(J38*M38/1200,0)</f>
        <v/>
      </c>
      <c r="L38" s="17">
        <f>MAX(0,J38-(MIN($B$12,J38+K38)-K38))</f>
        <v/>
      </c>
      <c r="M38" s="18">
        <f>M37</f>
        <v/>
      </c>
    </row>
    <row r="39">
      <c r="A39" t="n">
        <v>18</v>
      </c>
      <c r="B39" s="14">
        <f>EDATE($B$8,17)</f>
        <v/>
      </c>
      <c r="C39" s="15">
        <f>I38</f>
        <v/>
      </c>
      <c r="D39" s="15">
        <f>IF(C39&lt;=0,0,MIN($B$12,C39+E39))</f>
        <v/>
      </c>
      <c r="E39" s="15">
        <f>ROUND(C39*M39/1200,0)</f>
        <v/>
      </c>
      <c r="F39" s="15">
        <f>D39-E39</f>
        <v/>
      </c>
      <c r="G39" s="15">
        <f>IF(C39&lt;=0,0,MIN($B$9,C39-F39))</f>
        <v/>
      </c>
      <c r="H39" s="16" t="n"/>
      <c r="I39" s="15">
        <f>MAX(0,C39-F39-G39-MIN(N(H39),MAX(0,C39-F39-G39)))</f>
        <v/>
      </c>
      <c r="J39" s="17">
        <f>L38</f>
        <v/>
      </c>
      <c r="K39" s="17">
        <f>ROUND(J39*M39/1200,0)</f>
        <v/>
      </c>
      <c r="L39" s="17">
        <f>MAX(0,J39-(MIN($B$12,J39+K39)-K39))</f>
        <v/>
      </c>
      <c r="M39" s="18">
        <f>M38</f>
        <v/>
      </c>
    </row>
    <row r="40">
      <c r="A40" t="n">
        <v>19</v>
      </c>
      <c r="B40" s="14">
        <f>EDATE($B$8,18)</f>
        <v/>
      </c>
      <c r="C40" s="15">
        <f>I39</f>
        <v/>
      </c>
      <c r="D40" s="15">
        <f>IF(C40&lt;=0,0,MIN($B$12,C40+E40))</f>
        <v/>
      </c>
      <c r="E40" s="15">
        <f>ROUND(C40*M40/1200,0)</f>
        <v/>
      </c>
      <c r="F40" s="15">
        <f>D40-E40</f>
        <v/>
      </c>
      <c r="G40" s="15">
        <f>IF(C40&lt;=0,0,MIN($B$9,C40-F40))</f>
        <v/>
      </c>
      <c r="H40" s="16" t="n"/>
      <c r="I40" s="15">
        <f>MAX(0,C40-F40-G40-MIN(N(H40),MAX(0,C40-F40-G40)))</f>
        <v/>
      </c>
      <c r="J40" s="17">
        <f>L39</f>
        <v/>
      </c>
      <c r="K40" s="17">
        <f>ROUND(J40*M40/1200,0)</f>
        <v/>
      </c>
      <c r="L40" s="17">
        <f>MAX(0,J40-(MIN($B$12,J40+K40)-K40))</f>
        <v/>
      </c>
      <c r="M40" s="18">
        <f>M39</f>
        <v/>
      </c>
    </row>
    <row r="41">
      <c r="A41" t="n">
        <v>20</v>
      </c>
      <c r="B41" s="14">
        <f>EDATE($B$8,19)</f>
        <v/>
      </c>
      <c r="C41" s="15">
        <f>I40</f>
        <v/>
      </c>
      <c r="D41" s="15">
        <f>IF(C41&lt;=0,0,MIN($B$12,C41+E41))</f>
        <v/>
      </c>
      <c r="E41" s="15">
        <f>ROUND(C41*M41/1200,0)</f>
        <v/>
      </c>
      <c r="F41" s="15">
        <f>D41-E41</f>
        <v/>
      </c>
      <c r="G41" s="15">
        <f>IF(C41&lt;=0,0,MIN($B$9,C41-F41))</f>
        <v/>
      </c>
      <c r="H41" s="16" t="n"/>
      <c r="I41" s="15">
        <f>MAX(0,C41-F41-G41-MIN(N(H41),MAX(0,C41-F41-G41)))</f>
        <v/>
      </c>
      <c r="J41" s="17">
        <f>L40</f>
        <v/>
      </c>
      <c r="K41" s="17">
        <f>ROUND(J41*M41/1200,0)</f>
        <v/>
      </c>
      <c r="L41" s="17">
        <f>MAX(0,J41-(MIN($B$12,J41+K41)-K41))</f>
        <v/>
      </c>
      <c r="M41" s="18">
        <f>M40</f>
        <v/>
      </c>
    </row>
    <row r="42">
      <c r="A42" t="n">
        <v>21</v>
      </c>
      <c r="B42" s="14">
        <f>EDATE($B$8,20)</f>
        <v/>
      </c>
      <c r="C42" s="15">
        <f>I41</f>
        <v/>
      </c>
      <c r="D42" s="15">
        <f>IF(C42&lt;=0,0,MIN($B$12,C42+E42))</f>
        <v/>
      </c>
      <c r="E42" s="15">
        <f>ROUND(C42*M42/1200,0)</f>
        <v/>
      </c>
      <c r="F42" s="15">
        <f>D42-E42</f>
        <v/>
      </c>
      <c r="G42" s="15">
        <f>IF(C42&lt;=0,0,MIN($B$9,C42-F42))</f>
        <v/>
      </c>
      <c r="H42" s="16" t="n"/>
      <c r="I42" s="15">
        <f>MAX(0,C42-F42-G42-MIN(N(H42),MAX(0,C42-F42-G42)))</f>
        <v/>
      </c>
      <c r="J42" s="17">
        <f>L41</f>
        <v/>
      </c>
      <c r="K42" s="17">
        <f>ROUND(J42*M42/1200,0)</f>
        <v/>
      </c>
      <c r="L42" s="17">
        <f>MAX(0,J42-(MIN($B$12,J42+K42)-K42))</f>
        <v/>
      </c>
      <c r="M42" s="18">
        <f>M41</f>
        <v/>
      </c>
    </row>
    <row r="43">
      <c r="A43" t="n">
        <v>22</v>
      </c>
      <c r="B43" s="14">
        <f>EDATE($B$8,21)</f>
        <v/>
      </c>
      <c r="C43" s="15">
        <f>I42</f>
        <v/>
      </c>
      <c r="D43" s="15">
        <f>IF(C43&lt;=0,0,MIN($B$12,C43+E43))</f>
        <v/>
      </c>
      <c r="E43" s="15">
        <f>ROUND(C43*M43/1200,0)</f>
        <v/>
      </c>
      <c r="F43" s="15">
        <f>D43-E43</f>
        <v/>
      </c>
      <c r="G43" s="15">
        <f>IF(C43&lt;=0,0,MIN($B$9,C43-F43))</f>
        <v/>
      </c>
      <c r="H43" s="16" t="n"/>
      <c r="I43" s="15">
        <f>MAX(0,C43-F43-G43-MIN(N(H43),MAX(0,C43-F43-G43)))</f>
        <v/>
      </c>
      <c r="J43" s="17">
        <f>L42</f>
        <v/>
      </c>
      <c r="K43" s="17">
        <f>ROUND(J43*M43/1200,0)</f>
        <v/>
      </c>
      <c r="L43" s="17">
        <f>MAX(0,J43-(MIN($B$12,J43+K43)-K43))</f>
        <v/>
      </c>
      <c r="M43" s="18">
        <f>M42</f>
        <v/>
      </c>
    </row>
    <row r="44">
      <c r="A44" t="n">
        <v>23</v>
      </c>
      <c r="B44" s="14">
        <f>EDATE($B$8,22)</f>
        <v/>
      </c>
      <c r="C44" s="15">
        <f>I43</f>
        <v/>
      </c>
      <c r="D44" s="15">
        <f>IF(C44&lt;=0,0,MIN($B$12,C44+E44))</f>
        <v/>
      </c>
      <c r="E44" s="15">
        <f>ROUND(C44*M44/1200,0)</f>
        <v/>
      </c>
      <c r="F44" s="15">
        <f>D44-E44</f>
        <v/>
      </c>
      <c r="G44" s="15">
        <f>IF(C44&lt;=0,0,MIN($B$9,C44-F44))</f>
        <v/>
      </c>
      <c r="H44" s="16" t="n"/>
      <c r="I44" s="15">
        <f>MAX(0,C44-F44-G44-MIN(N(H44),MAX(0,C44-F44-G44)))</f>
        <v/>
      </c>
      <c r="J44" s="17">
        <f>L43</f>
        <v/>
      </c>
      <c r="K44" s="17">
        <f>ROUND(J44*M44/1200,0)</f>
        <v/>
      </c>
      <c r="L44" s="17">
        <f>MAX(0,J44-(MIN($B$12,J44+K44)-K44))</f>
        <v/>
      </c>
      <c r="M44" s="18">
        <f>M43</f>
        <v/>
      </c>
    </row>
    <row r="45">
      <c r="A45" t="n">
        <v>24</v>
      </c>
      <c r="B45" s="14">
        <f>EDATE($B$8,23)</f>
        <v/>
      </c>
      <c r="C45" s="15">
        <f>I44</f>
        <v/>
      </c>
      <c r="D45" s="15">
        <f>IF(C45&lt;=0,0,MIN($B$12,C45+E45))</f>
        <v/>
      </c>
      <c r="E45" s="15">
        <f>ROUND(C45*M45/1200,0)</f>
        <v/>
      </c>
      <c r="F45" s="15">
        <f>D45-E45</f>
        <v/>
      </c>
      <c r="G45" s="15">
        <f>IF(C45&lt;=0,0,MIN($B$9,C45-F45))</f>
        <v/>
      </c>
      <c r="H45" s="16" t="n"/>
      <c r="I45" s="15">
        <f>MAX(0,C45-F45-G45-MIN(N(H45),MAX(0,C45-F45-G45)))</f>
        <v/>
      </c>
      <c r="J45" s="17">
        <f>L44</f>
        <v/>
      </c>
      <c r="K45" s="17">
        <f>ROUND(J45*M45/1200,0)</f>
        <v/>
      </c>
      <c r="L45" s="17">
        <f>MAX(0,J45-(MIN($B$12,J45+K45)-K45))</f>
        <v/>
      </c>
      <c r="M45" s="18">
        <f>M44</f>
        <v/>
      </c>
    </row>
    <row r="46">
      <c r="A46" t="n">
        <v>25</v>
      </c>
      <c r="B46" s="14">
        <f>EDATE($B$8,24)</f>
        <v/>
      </c>
      <c r="C46" s="15">
        <f>I45</f>
        <v/>
      </c>
      <c r="D46" s="15">
        <f>IF(C46&lt;=0,0,MIN($B$12,C46+E46))</f>
        <v/>
      </c>
      <c r="E46" s="15">
        <f>ROUND(C46*M46/1200,0)</f>
        <v/>
      </c>
      <c r="F46" s="15">
        <f>D46-E46</f>
        <v/>
      </c>
      <c r="G46" s="15">
        <f>IF(C46&lt;=0,0,MIN($B$9,C46-F46))</f>
        <v/>
      </c>
      <c r="H46" s="16" t="n"/>
      <c r="I46" s="15">
        <f>MAX(0,C46-F46-G46-MIN(N(H46),MAX(0,C46-F46-G46)))</f>
        <v/>
      </c>
      <c r="J46" s="17">
        <f>L45</f>
        <v/>
      </c>
      <c r="K46" s="17">
        <f>ROUND(J46*M46/1200,0)</f>
        <v/>
      </c>
      <c r="L46" s="17">
        <f>MAX(0,J46-(MIN($B$12,J46+K46)-K46))</f>
        <v/>
      </c>
      <c r="M46" s="18">
        <f>M45</f>
        <v/>
      </c>
    </row>
    <row r="47">
      <c r="A47" t="n">
        <v>26</v>
      </c>
      <c r="B47" s="14">
        <f>EDATE($B$8,25)</f>
        <v/>
      </c>
      <c r="C47" s="15">
        <f>I46</f>
        <v/>
      </c>
      <c r="D47" s="15">
        <f>IF(C47&lt;=0,0,MIN($B$12,C47+E47))</f>
        <v/>
      </c>
      <c r="E47" s="15">
        <f>ROUND(C47*M47/1200,0)</f>
        <v/>
      </c>
      <c r="F47" s="15">
        <f>D47-E47</f>
        <v/>
      </c>
      <c r="G47" s="15">
        <f>IF(C47&lt;=0,0,MIN($B$9,C47-F47))</f>
        <v/>
      </c>
      <c r="H47" s="16" t="n"/>
      <c r="I47" s="15">
        <f>MAX(0,C47-F47-G47-MIN(N(H47),MAX(0,C47-F47-G47)))</f>
        <v/>
      </c>
      <c r="J47" s="17">
        <f>L46</f>
        <v/>
      </c>
      <c r="K47" s="17">
        <f>ROUND(J47*M47/1200,0)</f>
        <v/>
      </c>
      <c r="L47" s="17">
        <f>MAX(0,J47-(MIN($B$12,J47+K47)-K47))</f>
        <v/>
      </c>
      <c r="M47" s="18">
        <f>M46</f>
        <v/>
      </c>
    </row>
    <row r="48">
      <c r="A48" t="n">
        <v>27</v>
      </c>
      <c r="B48" s="14">
        <f>EDATE($B$8,26)</f>
        <v/>
      </c>
      <c r="C48" s="15">
        <f>I47</f>
        <v/>
      </c>
      <c r="D48" s="15">
        <f>IF(C48&lt;=0,0,MIN($B$12,C48+E48))</f>
        <v/>
      </c>
      <c r="E48" s="15">
        <f>ROUND(C48*M48/1200,0)</f>
        <v/>
      </c>
      <c r="F48" s="15">
        <f>D48-E48</f>
        <v/>
      </c>
      <c r="G48" s="15">
        <f>IF(C48&lt;=0,0,MIN($B$9,C48-F48))</f>
        <v/>
      </c>
      <c r="H48" s="16" t="n"/>
      <c r="I48" s="15">
        <f>MAX(0,C48-F48-G48-MIN(N(H48),MAX(0,C48-F48-G48)))</f>
        <v/>
      </c>
      <c r="J48" s="17">
        <f>L47</f>
        <v/>
      </c>
      <c r="K48" s="17">
        <f>ROUND(J48*M48/1200,0)</f>
        <v/>
      </c>
      <c r="L48" s="17">
        <f>MAX(0,J48-(MIN($B$12,J48+K48)-K48))</f>
        <v/>
      </c>
      <c r="M48" s="18">
        <f>M47</f>
        <v/>
      </c>
    </row>
    <row r="49">
      <c r="A49" t="n">
        <v>28</v>
      </c>
      <c r="B49" s="14">
        <f>EDATE($B$8,27)</f>
        <v/>
      </c>
      <c r="C49" s="15">
        <f>I48</f>
        <v/>
      </c>
      <c r="D49" s="15">
        <f>IF(C49&lt;=0,0,MIN($B$12,C49+E49))</f>
        <v/>
      </c>
      <c r="E49" s="15">
        <f>ROUND(C49*M49/1200,0)</f>
        <v/>
      </c>
      <c r="F49" s="15">
        <f>D49-E49</f>
        <v/>
      </c>
      <c r="G49" s="15">
        <f>IF(C49&lt;=0,0,MIN($B$9,C49-F49))</f>
        <v/>
      </c>
      <c r="H49" s="16" t="n"/>
      <c r="I49" s="15">
        <f>MAX(0,C49-F49-G49-MIN(N(H49),MAX(0,C49-F49-G49)))</f>
        <v/>
      </c>
      <c r="J49" s="17">
        <f>L48</f>
        <v/>
      </c>
      <c r="K49" s="17">
        <f>ROUND(J49*M49/1200,0)</f>
        <v/>
      </c>
      <c r="L49" s="17">
        <f>MAX(0,J49-(MIN($B$12,J49+K49)-K49))</f>
        <v/>
      </c>
      <c r="M49" s="18">
        <f>M48</f>
        <v/>
      </c>
    </row>
    <row r="50">
      <c r="A50" t="n">
        <v>29</v>
      </c>
      <c r="B50" s="14">
        <f>EDATE($B$8,28)</f>
        <v/>
      </c>
      <c r="C50" s="15">
        <f>I49</f>
        <v/>
      </c>
      <c r="D50" s="15">
        <f>IF(C50&lt;=0,0,MIN($B$12,C50+E50))</f>
        <v/>
      </c>
      <c r="E50" s="15">
        <f>ROUND(C50*M50/1200,0)</f>
        <v/>
      </c>
      <c r="F50" s="15">
        <f>D50-E50</f>
        <v/>
      </c>
      <c r="G50" s="15">
        <f>IF(C50&lt;=0,0,MIN($B$9,C50-F50))</f>
        <v/>
      </c>
      <c r="H50" s="16" t="n"/>
      <c r="I50" s="15">
        <f>MAX(0,C50-F50-G50-MIN(N(H50),MAX(0,C50-F50-G50)))</f>
        <v/>
      </c>
      <c r="J50" s="17">
        <f>L49</f>
        <v/>
      </c>
      <c r="K50" s="17">
        <f>ROUND(J50*M50/1200,0)</f>
        <v/>
      </c>
      <c r="L50" s="17">
        <f>MAX(0,J50-(MIN($B$12,J50+K50)-K50))</f>
        <v/>
      </c>
      <c r="M50" s="18">
        <f>M49</f>
        <v/>
      </c>
    </row>
    <row r="51">
      <c r="A51" t="n">
        <v>30</v>
      </c>
      <c r="B51" s="14">
        <f>EDATE($B$8,29)</f>
        <v/>
      </c>
      <c r="C51" s="15">
        <f>I50</f>
        <v/>
      </c>
      <c r="D51" s="15">
        <f>IF(C51&lt;=0,0,MIN($B$12,C51+E51))</f>
        <v/>
      </c>
      <c r="E51" s="15">
        <f>ROUND(C51*M51/1200,0)</f>
        <v/>
      </c>
      <c r="F51" s="15">
        <f>D51-E51</f>
        <v/>
      </c>
      <c r="G51" s="15">
        <f>IF(C51&lt;=0,0,MIN($B$9,C51-F51))</f>
        <v/>
      </c>
      <c r="H51" s="16" t="n"/>
      <c r="I51" s="15">
        <f>MAX(0,C51-F51-G51-MIN(N(H51),MAX(0,C51-F51-G51)))</f>
        <v/>
      </c>
      <c r="J51" s="17">
        <f>L50</f>
        <v/>
      </c>
      <c r="K51" s="17">
        <f>ROUND(J51*M51/1200,0)</f>
        <v/>
      </c>
      <c r="L51" s="17">
        <f>MAX(0,J51-(MIN($B$12,J51+K51)-K51))</f>
        <v/>
      </c>
      <c r="M51" s="18">
        <f>M50</f>
        <v/>
      </c>
    </row>
    <row r="52">
      <c r="A52" t="n">
        <v>31</v>
      </c>
      <c r="B52" s="14">
        <f>EDATE($B$8,30)</f>
        <v/>
      </c>
      <c r="C52" s="15">
        <f>I51</f>
        <v/>
      </c>
      <c r="D52" s="15">
        <f>IF(C52&lt;=0,0,MIN($B$12,C52+E52))</f>
        <v/>
      </c>
      <c r="E52" s="15">
        <f>ROUND(C52*M52/1200,0)</f>
        <v/>
      </c>
      <c r="F52" s="15">
        <f>D52-E52</f>
        <v/>
      </c>
      <c r="G52" s="15">
        <f>IF(C52&lt;=0,0,MIN($B$9,C52-F52))</f>
        <v/>
      </c>
      <c r="H52" s="16" t="n"/>
      <c r="I52" s="15">
        <f>MAX(0,C52-F52-G52-MIN(N(H52),MAX(0,C52-F52-G52)))</f>
        <v/>
      </c>
      <c r="J52" s="17">
        <f>L51</f>
        <v/>
      </c>
      <c r="K52" s="17">
        <f>ROUND(J52*M52/1200,0)</f>
        <v/>
      </c>
      <c r="L52" s="17">
        <f>MAX(0,J52-(MIN($B$12,J52+K52)-K52))</f>
        <v/>
      </c>
      <c r="M52" s="18">
        <f>M51</f>
        <v/>
      </c>
    </row>
    <row r="53">
      <c r="A53" t="n">
        <v>32</v>
      </c>
      <c r="B53" s="14">
        <f>EDATE($B$8,31)</f>
        <v/>
      </c>
      <c r="C53" s="15">
        <f>I52</f>
        <v/>
      </c>
      <c r="D53" s="15">
        <f>IF(C53&lt;=0,0,MIN($B$12,C53+E53))</f>
        <v/>
      </c>
      <c r="E53" s="15">
        <f>ROUND(C53*M53/1200,0)</f>
        <v/>
      </c>
      <c r="F53" s="15">
        <f>D53-E53</f>
        <v/>
      </c>
      <c r="G53" s="15">
        <f>IF(C53&lt;=0,0,MIN($B$9,C53-F53))</f>
        <v/>
      </c>
      <c r="H53" s="16" t="n"/>
      <c r="I53" s="15">
        <f>MAX(0,C53-F53-G53-MIN(N(H53),MAX(0,C53-F53-G53)))</f>
        <v/>
      </c>
      <c r="J53" s="17">
        <f>L52</f>
        <v/>
      </c>
      <c r="K53" s="17">
        <f>ROUND(J53*M53/1200,0)</f>
        <v/>
      </c>
      <c r="L53" s="17">
        <f>MAX(0,J53-(MIN($B$12,J53+K53)-K53))</f>
        <v/>
      </c>
      <c r="M53" s="18">
        <f>M52</f>
        <v/>
      </c>
    </row>
    <row r="54">
      <c r="A54" t="n">
        <v>33</v>
      </c>
      <c r="B54" s="14">
        <f>EDATE($B$8,32)</f>
        <v/>
      </c>
      <c r="C54" s="15">
        <f>I53</f>
        <v/>
      </c>
      <c r="D54" s="15">
        <f>IF(C54&lt;=0,0,MIN($B$12,C54+E54))</f>
        <v/>
      </c>
      <c r="E54" s="15">
        <f>ROUND(C54*M54/1200,0)</f>
        <v/>
      </c>
      <c r="F54" s="15">
        <f>D54-E54</f>
        <v/>
      </c>
      <c r="G54" s="15">
        <f>IF(C54&lt;=0,0,MIN($B$9,C54-F54))</f>
        <v/>
      </c>
      <c r="H54" s="16" t="n"/>
      <c r="I54" s="15">
        <f>MAX(0,C54-F54-G54-MIN(N(H54),MAX(0,C54-F54-G54)))</f>
        <v/>
      </c>
      <c r="J54" s="17">
        <f>L53</f>
        <v/>
      </c>
      <c r="K54" s="17">
        <f>ROUND(J54*M54/1200,0)</f>
        <v/>
      </c>
      <c r="L54" s="17">
        <f>MAX(0,J54-(MIN($B$12,J54+K54)-K54))</f>
        <v/>
      </c>
      <c r="M54" s="18">
        <f>M53</f>
        <v/>
      </c>
    </row>
    <row r="55">
      <c r="A55" t="n">
        <v>34</v>
      </c>
      <c r="B55" s="14">
        <f>EDATE($B$8,33)</f>
        <v/>
      </c>
      <c r="C55" s="15">
        <f>I54</f>
        <v/>
      </c>
      <c r="D55" s="15">
        <f>IF(C55&lt;=0,0,MIN($B$12,C55+E55))</f>
        <v/>
      </c>
      <c r="E55" s="15">
        <f>ROUND(C55*M55/1200,0)</f>
        <v/>
      </c>
      <c r="F55" s="15">
        <f>D55-E55</f>
        <v/>
      </c>
      <c r="G55" s="15">
        <f>IF(C55&lt;=0,0,MIN($B$9,C55-F55))</f>
        <v/>
      </c>
      <c r="H55" s="16" t="n"/>
      <c r="I55" s="15">
        <f>MAX(0,C55-F55-G55-MIN(N(H55),MAX(0,C55-F55-G55)))</f>
        <v/>
      </c>
      <c r="J55" s="17">
        <f>L54</f>
        <v/>
      </c>
      <c r="K55" s="17">
        <f>ROUND(J55*M55/1200,0)</f>
        <v/>
      </c>
      <c r="L55" s="17">
        <f>MAX(0,J55-(MIN($B$12,J55+K55)-K55))</f>
        <v/>
      </c>
      <c r="M55" s="18">
        <f>M54</f>
        <v/>
      </c>
    </row>
    <row r="56">
      <c r="A56" t="n">
        <v>35</v>
      </c>
      <c r="B56" s="14">
        <f>EDATE($B$8,34)</f>
        <v/>
      </c>
      <c r="C56" s="15">
        <f>I55</f>
        <v/>
      </c>
      <c r="D56" s="15">
        <f>IF(C56&lt;=0,0,MIN($B$12,C56+E56))</f>
        <v/>
      </c>
      <c r="E56" s="15">
        <f>ROUND(C56*M56/1200,0)</f>
        <v/>
      </c>
      <c r="F56" s="15">
        <f>D56-E56</f>
        <v/>
      </c>
      <c r="G56" s="15">
        <f>IF(C56&lt;=0,0,MIN($B$9,C56-F56))</f>
        <v/>
      </c>
      <c r="H56" s="16" t="n"/>
      <c r="I56" s="15">
        <f>MAX(0,C56-F56-G56-MIN(N(H56),MAX(0,C56-F56-G56)))</f>
        <v/>
      </c>
      <c r="J56" s="17">
        <f>L55</f>
        <v/>
      </c>
      <c r="K56" s="17">
        <f>ROUND(J56*M56/1200,0)</f>
        <v/>
      </c>
      <c r="L56" s="17">
        <f>MAX(0,J56-(MIN($B$12,J56+K56)-K56))</f>
        <v/>
      </c>
      <c r="M56" s="18">
        <f>M55</f>
        <v/>
      </c>
    </row>
    <row r="57">
      <c r="A57" t="n">
        <v>36</v>
      </c>
      <c r="B57" s="14">
        <f>EDATE($B$8,35)</f>
        <v/>
      </c>
      <c r="C57" s="15">
        <f>I56</f>
        <v/>
      </c>
      <c r="D57" s="15">
        <f>IF(C57&lt;=0,0,MIN($B$12,C57+E57))</f>
        <v/>
      </c>
      <c r="E57" s="15">
        <f>ROUND(C57*M57/1200,0)</f>
        <v/>
      </c>
      <c r="F57" s="15">
        <f>D57-E57</f>
        <v/>
      </c>
      <c r="G57" s="15">
        <f>IF(C57&lt;=0,0,MIN($B$9,C57-F57))</f>
        <v/>
      </c>
      <c r="H57" s="16" t="n"/>
      <c r="I57" s="15">
        <f>MAX(0,C57-F57-G57-MIN(N(H57),MAX(0,C57-F57-G57)))</f>
        <v/>
      </c>
      <c r="J57" s="17">
        <f>L56</f>
        <v/>
      </c>
      <c r="K57" s="17">
        <f>ROUND(J57*M57/1200,0)</f>
        <v/>
      </c>
      <c r="L57" s="17">
        <f>MAX(0,J57-(MIN($B$12,J57+K57)-K57))</f>
        <v/>
      </c>
      <c r="M57" s="18">
        <f>M56</f>
        <v/>
      </c>
    </row>
    <row r="58">
      <c r="A58" t="n">
        <v>37</v>
      </c>
      <c r="B58" s="14">
        <f>EDATE($B$8,36)</f>
        <v/>
      </c>
      <c r="C58" s="15">
        <f>I57</f>
        <v/>
      </c>
      <c r="D58" s="15">
        <f>IF(C58&lt;=0,0,MIN($B$12,C58+E58))</f>
        <v/>
      </c>
      <c r="E58" s="15">
        <f>ROUND(C58*M58/1200,0)</f>
        <v/>
      </c>
      <c r="F58" s="15">
        <f>D58-E58</f>
        <v/>
      </c>
      <c r="G58" s="15">
        <f>IF(C58&lt;=0,0,MIN($B$9,C58-F58))</f>
        <v/>
      </c>
      <c r="H58" s="16" t="n"/>
      <c r="I58" s="15">
        <f>MAX(0,C58-F58-G58-MIN(N(H58),MAX(0,C58-F58-G58)))</f>
        <v/>
      </c>
      <c r="J58" s="17">
        <f>L57</f>
        <v/>
      </c>
      <c r="K58" s="17">
        <f>ROUND(J58*M58/1200,0)</f>
        <v/>
      </c>
      <c r="L58" s="17">
        <f>MAX(0,J58-(MIN($B$12,J58+K58)-K58))</f>
        <v/>
      </c>
      <c r="M58" s="18">
        <f>M57</f>
        <v/>
      </c>
    </row>
    <row r="59">
      <c r="A59" t="n">
        <v>38</v>
      </c>
      <c r="B59" s="14">
        <f>EDATE($B$8,37)</f>
        <v/>
      </c>
      <c r="C59" s="15">
        <f>I58</f>
        <v/>
      </c>
      <c r="D59" s="15">
        <f>IF(C59&lt;=0,0,MIN($B$12,C59+E59))</f>
        <v/>
      </c>
      <c r="E59" s="15">
        <f>ROUND(C59*M59/1200,0)</f>
        <v/>
      </c>
      <c r="F59" s="15">
        <f>D59-E59</f>
        <v/>
      </c>
      <c r="G59" s="15">
        <f>IF(C59&lt;=0,0,MIN($B$9,C59-F59))</f>
        <v/>
      </c>
      <c r="H59" s="16" t="n"/>
      <c r="I59" s="15">
        <f>MAX(0,C59-F59-G59-MIN(N(H59),MAX(0,C59-F59-G59)))</f>
        <v/>
      </c>
      <c r="J59" s="17">
        <f>L58</f>
        <v/>
      </c>
      <c r="K59" s="17">
        <f>ROUND(J59*M59/1200,0)</f>
        <v/>
      </c>
      <c r="L59" s="17">
        <f>MAX(0,J59-(MIN($B$12,J59+K59)-K59))</f>
        <v/>
      </c>
      <c r="M59" s="18">
        <f>M58</f>
        <v/>
      </c>
    </row>
    <row r="60">
      <c r="A60" t="n">
        <v>39</v>
      </c>
      <c r="B60" s="14">
        <f>EDATE($B$8,38)</f>
        <v/>
      </c>
      <c r="C60" s="15">
        <f>I59</f>
        <v/>
      </c>
      <c r="D60" s="15">
        <f>IF(C60&lt;=0,0,MIN($B$12,C60+E60))</f>
        <v/>
      </c>
      <c r="E60" s="15">
        <f>ROUND(C60*M60/1200,0)</f>
        <v/>
      </c>
      <c r="F60" s="15">
        <f>D60-E60</f>
        <v/>
      </c>
      <c r="G60" s="15">
        <f>IF(C60&lt;=0,0,MIN($B$9,C60-F60))</f>
        <v/>
      </c>
      <c r="H60" s="16" t="n"/>
      <c r="I60" s="15">
        <f>MAX(0,C60-F60-G60-MIN(N(H60),MAX(0,C60-F60-G60)))</f>
        <v/>
      </c>
      <c r="J60" s="17">
        <f>L59</f>
        <v/>
      </c>
      <c r="K60" s="17">
        <f>ROUND(J60*M60/1200,0)</f>
        <v/>
      </c>
      <c r="L60" s="17">
        <f>MAX(0,J60-(MIN($B$12,J60+K60)-K60))</f>
        <v/>
      </c>
      <c r="M60" s="18">
        <f>M59</f>
        <v/>
      </c>
    </row>
    <row r="61">
      <c r="A61" t="n">
        <v>40</v>
      </c>
      <c r="B61" s="14">
        <f>EDATE($B$8,39)</f>
        <v/>
      </c>
      <c r="C61" s="15">
        <f>I60</f>
        <v/>
      </c>
      <c r="D61" s="15">
        <f>IF(C61&lt;=0,0,MIN($B$12,C61+E61))</f>
        <v/>
      </c>
      <c r="E61" s="15">
        <f>ROUND(C61*M61/1200,0)</f>
        <v/>
      </c>
      <c r="F61" s="15">
        <f>D61-E61</f>
        <v/>
      </c>
      <c r="G61" s="15">
        <f>IF(C61&lt;=0,0,MIN($B$9,C61-F61))</f>
        <v/>
      </c>
      <c r="H61" s="16" t="n"/>
      <c r="I61" s="15">
        <f>MAX(0,C61-F61-G61-MIN(N(H61),MAX(0,C61-F61-G61)))</f>
        <v/>
      </c>
      <c r="J61" s="17">
        <f>L60</f>
        <v/>
      </c>
      <c r="K61" s="17">
        <f>ROUND(J61*M61/1200,0)</f>
        <v/>
      </c>
      <c r="L61" s="17">
        <f>MAX(0,J61-(MIN($B$12,J61+K61)-K61))</f>
        <v/>
      </c>
      <c r="M61" s="18">
        <f>M60</f>
        <v/>
      </c>
    </row>
    <row r="62">
      <c r="A62" t="n">
        <v>41</v>
      </c>
      <c r="B62" s="14">
        <f>EDATE($B$8,40)</f>
        <v/>
      </c>
      <c r="C62" s="15">
        <f>I61</f>
        <v/>
      </c>
      <c r="D62" s="15">
        <f>IF(C62&lt;=0,0,MIN($B$12,C62+E62))</f>
        <v/>
      </c>
      <c r="E62" s="15">
        <f>ROUND(C62*M62/1200,0)</f>
        <v/>
      </c>
      <c r="F62" s="15">
        <f>D62-E62</f>
        <v/>
      </c>
      <c r="G62" s="15">
        <f>IF(C62&lt;=0,0,MIN($B$9,C62-F62))</f>
        <v/>
      </c>
      <c r="H62" s="16" t="n"/>
      <c r="I62" s="15">
        <f>MAX(0,C62-F62-G62-MIN(N(H62),MAX(0,C62-F62-G62)))</f>
        <v/>
      </c>
      <c r="J62" s="17">
        <f>L61</f>
        <v/>
      </c>
      <c r="K62" s="17">
        <f>ROUND(J62*M62/1200,0)</f>
        <v/>
      </c>
      <c r="L62" s="17">
        <f>MAX(0,J62-(MIN($B$12,J62+K62)-K62))</f>
        <v/>
      </c>
      <c r="M62" s="18">
        <f>M61</f>
        <v/>
      </c>
    </row>
    <row r="63">
      <c r="A63" t="n">
        <v>42</v>
      </c>
      <c r="B63" s="14">
        <f>EDATE($B$8,41)</f>
        <v/>
      </c>
      <c r="C63" s="15">
        <f>I62</f>
        <v/>
      </c>
      <c r="D63" s="15">
        <f>IF(C63&lt;=0,0,MIN($B$12,C63+E63))</f>
        <v/>
      </c>
      <c r="E63" s="15">
        <f>ROUND(C63*M63/1200,0)</f>
        <v/>
      </c>
      <c r="F63" s="15">
        <f>D63-E63</f>
        <v/>
      </c>
      <c r="G63" s="15">
        <f>IF(C63&lt;=0,0,MIN($B$9,C63-F63))</f>
        <v/>
      </c>
      <c r="H63" s="16" t="n"/>
      <c r="I63" s="15">
        <f>MAX(0,C63-F63-G63-MIN(N(H63),MAX(0,C63-F63-G63)))</f>
        <v/>
      </c>
      <c r="J63" s="17">
        <f>L62</f>
        <v/>
      </c>
      <c r="K63" s="17">
        <f>ROUND(J63*M63/1200,0)</f>
        <v/>
      </c>
      <c r="L63" s="17">
        <f>MAX(0,J63-(MIN($B$12,J63+K63)-K63))</f>
        <v/>
      </c>
      <c r="M63" s="18">
        <f>M62</f>
        <v/>
      </c>
    </row>
    <row r="64">
      <c r="A64" t="n">
        <v>43</v>
      </c>
      <c r="B64" s="14">
        <f>EDATE($B$8,42)</f>
        <v/>
      </c>
      <c r="C64" s="15">
        <f>I63</f>
        <v/>
      </c>
      <c r="D64" s="15">
        <f>IF(C64&lt;=0,0,MIN($B$12,C64+E64))</f>
        <v/>
      </c>
      <c r="E64" s="15">
        <f>ROUND(C64*M64/1200,0)</f>
        <v/>
      </c>
      <c r="F64" s="15">
        <f>D64-E64</f>
        <v/>
      </c>
      <c r="G64" s="15">
        <f>IF(C64&lt;=0,0,MIN($B$9,C64-F64))</f>
        <v/>
      </c>
      <c r="H64" s="16" t="n"/>
      <c r="I64" s="15">
        <f>MAX(0,C64-F64-G64-MIN(N(H64),MAX(0,C64-F64-G64)))</f>
        <v/>
      </c>
      <c r="J64" s="17">
        <f>L63</f>
        <v/>
      </c>
      <c r="K64" s="17">
        <f>ROUND(J64*M64/1200,0)</f>
        <v/>
      </c>
      <c r="L64" s="17">
        <f>MAX(0,J64-(MIN($B$12,J64+K64)-K64))</f>
        <v/>
      </c>
      <c r="M64" s="18">
        <f>M63</f>
        <v/>
      </c>
    </row>
    <row r="65">
      <c r="A65" t="n">
        <v>44</v>
      </c>
      <c r="B65" s="14">
        <f>EDATE($B$8,43)</f>
        <v/>
      </c>
      <c r="C65" s="15">
        <f>I64</f>
        <v/>
      </c>
      <c r="D65" s="15">
        <f>IF(C65&lt;=0,0,MIN($B$12,C65+E65))</f>
        <v/>
      </c>
      <c r="E65" s="15">
        <f>ROUND(C65*M65/1200,0)</f>
        <v/>
      </c>
      <c r="F65" s="15">
        <f>D65-E65</f>
        <v/>
      </c>
      <c r="G65" s="15">
        <f>IF(C65&lt;=0,0,MIN($B$9,C65-F65))</f>
        <v/>
      </c>
      <c r="H65" s="16" t="n"/>
      <c r="I65" s="15">
        <f>MAX(0,C65-F65-G65-MIN(N(H65),MAX(0,C65-F65-G65)))</f>
        <v/>
      </c>
      <c r="J65" s="17">
        <f>L64</f>
        <v/>
      </c>
      <c r="K65" s="17">
        <f>ROUND(J65*M65/1200,0)</f>
        <v/>
      </c>
      <c r="L65" s="17">
        <f>MAX(0,J65-(MIN($B$12,J65+K65)-K65))</f>
        <v/>
      </c>
      <c r="M65" s="18">
        <f>M64</f>
        <v/>
      </c>
    </row>
    <row r="66">
      <c r="A66" t="n">
        <v>45</v>
      </c>
      <c r="B66" s="14">
        <f>EDATE($B$8,44)</f>
        <v/>
      </c>
      <c r="C66" s="15">
        <f>I65</f>
        <v/>
      </c>
      <c r="D66" s="15">
        <f>IF(C66&lt;=0,0,MIN($B$12,C66+E66))</f>
        <v/>
      </c>
      <c r="E66" s="15">
        <f>ROUND(C66*M66/1200,0)</f>
        <v/>
      </c>
      <c r="F66" s="15">
        <f>D66-E66</f>
        <v/>
      </c>
      <c r="G66" s="15">
        <f>IF(C66&lt;=0,0,MIN($B$9,C66-F66))</f>
        <v/>
      </c>
      <c r="H66" s="16" t="n"/>
      <c r="I66" s="15">
        <f>MAX(0,C66-F66-G66-MIN(N(H66),MAX(0,C66-F66-G66)))</f>
        <v/>
      </c>
      <c r="J66" s="17">
        <f>L65</f>
        <v/>
      </c>
      <c r="K66" s="17">
        <f>ROUND(J66*M66/1200,0)</f>
        <v/>
      </c>
      <c r="L66" s="17">
        <f>MAX(0,J66-(MIN($B$12,J66+K66)-K66))</f>
        <v/>
      </c>
      <c r="M66" s="18">
        <f>M65</f>
        <v/>
      </c>
    </row>
    <row r="67">
      <c r="A67" t="n">
        <v>46</v>
      </c>
      <c r="B67" s="14">
        <f>EDATE($B$8,45)</f>
        <v/>
      </c>
      <c r="C67" s="15">
        <f>I66</f>
        <v/>
      </c>
      <c r="D67" s="15">
        <f>IF(C67&lt;=0,0,MIN($B$12,C67+E67))</f>
        <v/>
      </c>
      <c r="E67" s="15">
        <f>ROUND(C67*M67/1200,0)</f>
        <v/>
      </c>
      <c r="F67" s="15">
        <f>D67-E67</f>
        <v/>
      </c>
      <c r="G67" s="15">
        <f>IF(C67&lt;=0,0,MIN($B$9,C67-F67))</f>
        <v/>
      </c>
      <c r="H67" s="16" t="n"/>
      <c r="I67" s="15">
        <f>MAX(0,C67-F67-G67-MIN(N(H67),MAX(0,C67-F67-G67)))</f>
        <v/>
      </c>
      <c r="J67" s="17">
        <f>L66</f>
        <v/>
      </c>
      <c r="K67" s="17">
        <f>ROUND(J67*M67/1200,0)</f>
        <v/>
      </c>
      <c r="L67" s="17">
        <f>MAX(0,J67-(MIN($B$12,J67+K67)-K67))</f>
        <v/>
      </c>
      <c r="M67" s="18">
        <f>M66</f>
        <v/>
      </c>
    </row>
    <row r="68">
      <c r="A68" t="n">
        <v>47</v>
      </c>
      <c r="B68" s="14">
        <f>EDATE($B$8,46)</f>
        <v/>
      </c>
      <c r="C68" s="15">
        <f>I67</f>
        <v/>
      </c>
      <c r="D68" s="15">
        <f>IF(C68&lt;=0,0,MIN($B$12,C68+E68))</f>
        <v/>
      </c>
      <c r="E68" s="15">
        <f>ROUND(C68*M68/1200,0)</f>
        <v/>
      </c>
      <c r="F68" s="15">
        <f>D68-E68</f>
        <v/>
      </c>
      <c r="G68" s="15">
        <f>IF(C68&lt;=0,0,MIN($B$9,C68-F68))</f>
        <v/>
      </c>
      <c r="H68" s="16" t="n"/>
      <c r="I68" s="15">
        <f>MAX(0,C68-F68-G68-MIN(N(H68),MAX(0,C68-F68-G68)))</f>
        <v/>
      </c>
      <c r="J68" s="17">
        <f>L67</f>
        <v/>
      </c>
      <c r="K68" s="17">
        <f>ROUND(J68*M68/1200,0)</f>
        <v/>
      </c>
      <c r="L68" s="17">
        <f>MAX(0,J68-(MIN($B$12,J68+K68)-K68))</f>
        <v/>
      </c>
      <c r="M68" s="18">
        <f>M67</f>
        <v/>
      </c>
    </row>
    <row r="69">
      <c r="A69" t="n">
        <v>48</v>
      </c>
      <c r="B69" s="14">
        <f>EDATE($B$8,47)</f>
        <v/>
      </c>
      <c r="C69" s="15">
        <f>I68</f>
        <v/>
      </c>
      <c r="D69" s="15">
        <f>IF(C69&lt;=0,0,MIN($B$12,C69+E69))</f>
        <v/>
      </c>
      <c r="E69" s="15">
        <f>ROUND(C69*M69/1200,0)</f>
        <v/>
      </c>
      <c r="F69" s="15">
        <f>D69-E69</f>
        <v/>
      </c>
      <c r="G69" s="15">
        <f>IF(C69&lt;=0,0,MIN($B$9,C69-F69))</f>
        <v/>
      </c>
      <c r="H69" s="16" t="n"/>
      <c r="I69" s="15">
        <f>MAX(0,C69-F69-G69-MIN(N(H69),MAX(0,C69-F69-G69)))</f>
        <v/>
      </c>
      <c r="J69" s="17">
        <f>L68</f>
        <v/>
      </c>
      <c r="K69" s="17">
        <f>ROUND(J69*M69/1200,0)</f>
        <v/>
      </c>
      <c r="L69" s="17">
        <f>MAX(0,J69-(MIN($B$12,J69+K69)-K69))</f>
        <v/>
      </c>
      <c r="M69" s="18">
        <f>M68</f>
        <v/>
      </c>
    </row>
    <row r="70">
      <c r="A70" t="n">
        <v>49</v>
      </c>
      <c r="B70" s="14">
        <f>EDATE($B$8,48)</f>
        <v/>
      </c>
      <c r="C70" s="15">
        <f>I69</f>
        <v/>
      </c>
      <c r="D70" s="15">
        <f>IF(C70&lt;=0,0,MIN($B$12,C70+E70))</f>
        <v/>
      </c>
      <c r="E70" s="15">
        <f>ROUND(C70*M70/1200,0)</f>
        <v/>
      </c>
      <c r="F70" s="15">
        <f>D70-E70</f>
        <v/>
      </c>
      <c r="G70" s="15">
        <f>IF(C70&lt;=0,0,MIN($B$9,C70-F70))</f>
        <v/>
      </c>
      <c r="H70" s="16" t="n"/>
      <c r="I70" s="15">
        <f>MAX(0,C70-F70-G70-MIN(N(H70),MAX(0,C70-F70-G70)))</f>
        <v/>
      </c>
      <c r="J70" s="17">
        <f>L69</f>
        <v/>
      </c>
      <c r="K70" s="17">
        <f>ROUND(J70*M70/1200,0)</f>
        <v/>
      </c>
      <c r="L70" s="17">
        <f>MAX(0,J70-(MIN($B$12,J70+K70)-K70))</f>
        <v/>
      </c>
      <c r="M70" s="18">
        <f>M69</f>
        <v/>
      </c>
    </row>
    <row r="71">
      <c r="A71" t="n">
        <v>50</v>
      </c>
      <c r="B71" s="14">
        <f>EDATE($B$8,49)</f>
        <v/>
      </c>
      <c r="C71" s="15">
        <f>I70</f>
        <v/>
      </c>
      <c r="D71" s="15">
        <f>IF(C71&lt;=0,0,MIN($B$12,C71+E71))</f>
        <v/>
      </c>
      <c r="E71" s="15">
        <f>ROUND(C71*M71/1200,0)</f>
        <v/>
      </c>
      <c r="F71" s="15">
        <f>D71-E71</f>
        <v/>
      </c>
      <c r="G71" s="15">
        <f>IF(C71&lt;=0,0,MIN($B$9,C71-F71))</f>
        <v/>
      </c>
      <c r="H71" s="16" t="n"/>
      <c r="I71" s="15">
        <f>MAX(0,C71-F71-G71-MIN(N(H71),MAX(0,C71-F71-G71)))</f>
        <v/>
      </c>
      <c r="J71" s="17">
        <f>L70</f>
        <v/>
      </c>
      <c r="K71" s="17">
        <f>ROUND(J71*M71/1200,0)</f>
        <v/>
      </c>
      <c r="L71" s="17">
        <f>MAX(0,J71-(MIN($B$12,J71+K71)-K71))</f>
        <v/>
      </c>
      <c r="M71" s="18">
        <f>M70</f>
        <v/>
      </c>
    </row>
    <row r="72">
      <c r="A72" t="n">
        <v>51</v>
      </c>
      <c r="B72" s="14">
        <f>EDATE($B$8,50)</f>
        <v/>
      </c>
      <c r="C72" s="15">
        <f>I71</f>
        <v/>
      </c>
      <c r="D72" s="15">
        <f>IF(C72&lt;=0,0,MIN($B$12,C72+E72))</f>
        <v/>
      </c>
      <c r="E72" s="15">
        <f>ROUND(C72*M72/1200,0)</f>
        <v/>
      </c>
      <c r="F72" s="15">
        <f>D72-E72</f>
        <v/>
      </c>
      <c r="G72" s="15">
        <f>IF(C72&lt;=0,0,MIN($B$9,C72-F72))</f>
        <v/>
      </c>
      <c r="H72" s="16" t="n"/>
      <c r="I72" s="15">
        <f>MAX(0,C72-F72-G72-MIN(N(H72),MAX(0,C72-F72-G72)))</f>
        <v/>
      </c>
      <c r="J72" s="17">
        <f>L71</f>
        <v/>
      </c>
      <c r="K72" s="17">
        <f>ROUND(J72*M72/1200,0)</f>
        <v/>
      </c>
      <c r="L72" s="17">
        <f>MAX(0,J72-(MIN($B$12,J72+K72)-K72))</f>
        <v/>
      </c>
      <c r="M72" s="18">
        <f>M71</f>
        <v/>
      </c>
    </row>
    <row r="73">
      <c r="A73" t="n">
        <v>52</v>
      </c>
      <c r="B73" s="14">
        <f>EDATE($B$8,51)</f>
        <v/>
      </c>
      <c r="C73" s="15">
        <f>I72</f>
        <v/>
      </c>
      <c r="D73" s="15">
        <f>IF(C73&lt;=0,0,MIN($B$12,C73+E73))</f>
        <v/>
      </c>
      <c r="E73" s="15">
        <f>ROUND(C73*M73/1200,0)</f>
        <v/>
      </c>
      <c r="F73" s="15">
        <f>D73-E73</f>
        <v/>
      </c>
      <c r="G73" s="15">
        <f>IF(C73&lt;=0,0,MIN($B$9,C73-F73))</f>
        <v/>
      </c>
      <c r="H73" s="16" t="n"/>
      <c r="I73" s="15">
        <f>MAX(0,C73-F73-G73-MIN(N(H73),MAX(0,C73-F73-G73)))</f>
        <v/>
      </c>
      <c r="J73" s="17">
        <f>L72</f>
        <v/>
      </c>
      <c r="K73" s="17">
        <f>ROUND(J73*M73/1200,0)</f>
        <v/>
      </c>
      <c r="L73" s="17">
        <f>MAX(0,J73-(MIN($B$12,J73+K73)-K73))</f>
        <v/>
      </c>
      <c r="M73" s="18">
        <f>M72</f>
        <v/>
      </c>
    </row>
    <row r="74">
      <c r="A74" t="n">
        <v>53</v>
      </c>
      <c r="B74" s="14">
        <f>EDATE($B$8,52)</f>
        <v/>
      </c>
      <c r="C74" s="15">
        <f>I73</f>
        <v/>
      </c>
      <c r="D74" s="15">
        <f>IF(C74&lt;=0,0,MIN($B$12,C74+E74))</f>
        <v/>
      </c>
      <c r="E74" s="15">
        <f>ROUND(C74*M74/1200,0)</f>
        <v/>
      </c>
      <c r="F74" s="15">
        <f>D74-E74</f>
        <v/>
      </c>
      <c r="G74" s="15">
        <f>IF(C74&lt;=0,0,MIN($B$9,C74-F74))</f>
        <v/>
      </c>
      <c r="H74" s="16" t="n"/>
      <c r="I74" s="15">
        <f>MAX(0,C74-F74-G74-MIN(N(H74),MAX(0,C74-F74-G74)))</f>
        <v/>
      </c>
      <c r="J74" s="17">
        <f>L73</f>
        <v/>
      </c>
      <c r="K74" s="17">
        <f>ROUND(J74*M74/1200,0)</f>
        <v/>
      </c>
      <c r="L74" s="17">
        <f>MAX(0,J74-(MIN($B$12,J74+K74)-K74))</f>
        <v/>
      </c>
      <c r="M74" s="18">
        <f>M73</f>
        <v/>
      </c>
    </row>
    <row r="75">
      <c r="A75" t="n">
        <v>54</v>
      </c>
      <c r="B75" s="14">
        <f>EDATE($B$8,53)</f>
        <v/>
      </c>
      <c r="C75" s="15">
        <f>I74</f>
        <v/>
      </c>
      <c r="D75" s="15">
        <f>IF(C75&lt;=0,0,MIN($B$12,C75+E75))</f>
        <v/>
      </c>
      <c r="E75" s="15">
        <f>ROUND(C75*M75/1200,0)</f>
        <v/>
      </c>
      <c r="F75" s="15">
        <f>D75-E75</f>
        <v/>
      </c>
      <c r="G75" s="15">
        <f>IF(C75&lt;=0,0,MIN($B$9,C75-F75))</f>
        <v/>
      </c>
      <c r="H75" s="16" t="n"/>
      <c r="I75" s="15">
        <f>MAX(0,C75-F75-G75-MIN(N(H75),MAX(0,C75-F75-G75)))</f>
        <v/>
      </c>
      <c r="J75" s="17">
        <f>L74</f>
        <v/>
      </c>
      <c r="K75" s="17">
        <f>ROUND(J75*M75/1200,0)</f>
        <v/>
      </c>
      <c r="L75" s="17">
        <f>MAX(0,J75-(MIN($B$12,J75+K75)-K75))</f>
        <v/>
      </c>
      <c r="M75" s="18">
        <f>M74</f>
        <v/>
      </c>
    </row>
    <row r="76">
      <c r="A76" t="n">
        <v>55</v>
      </c>
      <c r="B76" s="14">
        <f>EDATE($B$8,54)</f>
        <v/>
      </c>
      <c r="C76" s="15">
        <f>I75</f>
        <v/>
      </c>
      <c r="D76" s="15">
        <f>IF(C76&lt;=0,0,MIN($B$12,C76+E76))</f>
        <v/>
      </c>
      <c r="E76" s="15">
        <f>ROUND(C76*M76/1200,0)</f>
        <v/>
      </c>
      <c r="F76" s="15">
        <f>D76-E76</f>
        <v/>
      </c>
      <c r="G76" s="15">
        <f>IF(C76&lt;=0,0,MIN($B$9,C76-F76))</f>
        <v/>
      </c>
      <c r="H76" s="16" t="n"/>
      <c r="I76" s="15">
        <f>MAX(0,C76-F76-G76-MIN(N(H76),MAX(0,C76-F76-G76)))</f>
        <v/>
      </c>
      <c r="J76" s="17">
        <f>L75</f>
        <v/>
      </c>
      <c r="K76" s="17">
        <f>ROUND(J76*M76/1200,0)</f>
        <v/>
      </c>
      <c r="L76" s="17">
        <f>MAX(0,J76-(MIN($B$12,J76+K76)-K76))</f>
        <v/>
      </c>
      <c r="M76" s="18">
        <f>M75</f>
        <v/>
      </c>
    </row>
    <row r="77">
      <c r="A77" t="n">
        <v>56</v>
      </c>
      <c r="B77" s="14">
        <f>EDATE($B$8,55)</f>
        <v/>
      </c>
      <c r="C77" s="15">
        <f>I76</f>
        <v/>
      </c>
      <c r="D77" s="15">
        <f>IF(C77&lt;=0,0,MIN($B$12,C77+E77))</f>
        <v/>
      </c>
      <c r="E77" s="15">
        <f>ROUND(C77*M77/1200,0)</f>
        <v/>
      </c>
      <c r="F77" s="15">
        <f>D77-E77</f>
        <v/>
      </c>
      <c r="G77" s="15">
        <f>IF(C77&lt;=0,0,MIN($B$9,C77-F77))</f>
        <v/>
      </c>
      <c r="H77" s="16" t="n"/>
      <c r="I77" s="15">
        <f>MAX(0,C77-F77-G77-MIN(N(H77),MAX(0,C77-F77-G77)))</f>
        <v/>
      </c>
      <c r="J77" s="17">
        <f>L76</f>
        <v/>
      </c>
      <c r="K77" s="17">
        <f>ROUND(J77*M77/1200,0)</f>
        <v/>
      </c>
      <c r="L77" s="17">
        <f>MAX(0,J77-(MIN($B$12,J77+K77)-K77))</f>
        <v/>
      </c>
      <c r="M77" s="18">
        <f>M76</f>
        <v/>
      </c>
    </row>
    <row r="78">
      <c r="A78" t="n">
        <v>57</v>
      </c>
      <c r="B78" s="14">
        <f>EDATE($B$8,56)</f>
        <v/>
      </c>
      <c r="C78" s="15">
        <f>I77</f>
        <v/>
      </c>
      <c r="D78" s="15">
        <f>IF(C78&lt;=0,0,MIN($B$12,C78+E78))</f>
        <v/>
      </c>
      <c r="E78" s="15">
        <f>ROUND(C78*M78/1200,0)</f>
        <v/>
      </c>
      <c r="F78" s="15">
        <f>D78-E78</f>
        <v/>
      </c>
      <c r="G78" s="15">
        <f>IF(C78&lt;=0,0,MIN($B$9,C78-F78))</f>
        <v/>
      </c>
      <c r="H78" s="16" t="n"/>
      <c r="I78" s="15">
        <f>MAX(0,C78-F78-G78-MIN(N(H78),MAX(0,C78-F78-G78)))</f>
        <v/>
      </c>
      <c r="J78" s="17">
        <f>L77</f>
        <v/>
      </c>
      <c r="K78" s="17">
        <f>ROUND(J78*M78/1200,0)</f>
        <v/>
      </c>
      <c r="L78" s="17">
        <f>MAX(0,J78-(MIN($B$12,J78+K78)-K78))</f>
        <v/>
      </c>
      <c r="M78" s="18">
        <f>M77</f>
        <v/>
      </c>
    </row>
    <row r="79">
      <c r="A79" t="n">
        <v>58</v>
      </c>
      <c r="B79" s="14">
        <f>EDATE($B$8,57)</f>
        <v/>
      </c>
      <c r="C79" s="15">
        <f>I78</f>
        <v/>
      </c>
      <c r="D79" s="15">
        <f>IF(C79&lt;=0,0,MIN($B$12,C79+E79))</f>
        <v/>
      </c>
      <c r="E79" s="15">
        <f>ROUND(C79*M79/1200,0)</f>
        <v/>
      </c>
      <c r="F79" s="15">
        <f>D79-E79</f>
        <v/>
      </c>
      <c r="G79" s="15">
        <f>IF(C79&lt;=0,0,MIN($B$9,C79-F79))</f>
        <v/>
      </c>
      <c r="H79" s="16" t="n"/>
      <c r="I79" s="15">
        <f>MAX(0,C79-F79-G79-MIN(N(H79),MAX(0,C79-F79-G79)))</f>
        <v/>
      </c>
      <c r="J79" s="17">
        <f>L78</f>
        <v/>
      </c>
      <c r="K79" s="17">
        <f>ROUND(J79*M79/1200,0)</f>
        <v/>
      </c>
      <c r="L79" s="17">
        <f>MAX(0,J79-(MIN($B$12,J79+K79)-K79))</f>
        <v/>
      </c>
      <c r="M79" s="18">
        <f>M78</f>
        <v/>
      </c>
    </row>
    <row r="80">
      <c r="A80" t="n">
        <v>59</v>
      </c>
      <c r="B80" s="14">
        <f>EDATE($B$8,58)</f>
        <v/>
      </c>
      <c r="C80" s="15">
        <f>I79</f>
        <v/>
      </c>
      <c r="D80" s="15">
        <f>IF(C80&lt;=0,0,MIN($B$12,C80+E80))</f>
        <v/>
      </c>
      <c r="E80" s="15">
        <f>ROUND(C80*M80/1200,0)</f>
        <v/>
      </c>
      <c r="F80" s="15">
        <f>D80-E80</f>
        <v/>
      </c>
      <c r="G80" s="15">
        <f>IF(C80&lt;=0,0,MIN($B$9,C80-F80))</f>
        <v/>
      </c>
      <c r="H80" s="16" t="n"/>
      <c r="I80" s="15">
        <f>MAX(0,C80-F80-G80-MIN(N(H80),MAX(0,C80-F80-G80)))</f>
        <v/>
      </c>
      <c r="J80" s="17">
        <f>L79</f>
        <v/>
      </c>
      <c r="K80" s="17">
        <f>ROUND(J80*M80/1200,0)</f>
        <v/>
      </c>
      <c r="L80" s="17">
        <f>MAX(0,J80-(MIN($B$12,J80+K80)-K80))</f>
        <v/>
      </c>
      <c r="M80" s="18">
        <f>M79</f>
        <v/>
      </c>
    </row>
    <row r="81">
      <c r="A81" t="n">
        <v>60</v>
      </c>
      <c r="B81" s="14">
        <f>EDATE($B$8,59)</f>
        <v/>
      </c>
      <c r="C81" s="15">
        <f>I80</f>
        <v/>
      </c>
      <c r="D81" s="15">
        <f>IF(C81&lt;=0,0,MIN($B$12,C81+E81))</f>
        <v/>
      </c>
      <c r="E81" s="15">
        <f>ROUND(C81*M81/1200,0)</f>
        <v/>
      </c>
      <c r="F81" s="15">
        <f>D81-E81</f>
        <v/>
      </c>
      <c r="G81" s="15">
        <f>IF(C81&lt;=0,0,MIN($B$9,C81-F81))</f>
        <v/>
      </c>
      <c r="H81" s="16" t="n"/>
      <c r="I81" s="15">
        <f>MAX(0,C81-F81-G81-MIN(N(H81),MAX(0,C81-F81-G81)))</f>
        <v/>
      </c>
      <c r="J81" s="17">
        <f>L80</f>
        <v/>
      </c>
      <c r="K81" s="17">
        <f>ROUND(J81*M81/1200,0)</f>
        <v/>
      </c>
      <c r="L81" s="17">
        <f>MAX(0,J81-(MIN($B$12,J81+K81)-K81))</f>
        <v/>
      </c>
      <c r="M81" s="18">
        <f>M80</f>
        <v/>
      </c>
    </row>
    <row r="82">
      <c r="A82" t="n">
        <v>61</v>
      </c>
      <c r="B82" s="14">
        <f>EDATE($B$8,60)</f>
        <v/>
      </c>
      <c r="C82" s="15">
        <f>I81</f>
        <v/>
      </c>
      <c r="D82" s="15">
        <f>IF(C82&lt;=0,0,MIN($B$12,C82+E82))</f>
        <v/>
      </c>
      <c r="E82" s="15">
        <f>ROUND(C82*M82/1200,0)</f>
        <v/>
      </c>
      <c r="F82" s="15">
        <f>D82-E82</f>
        <v/>
      </c>
      <c r="G82" s="15">
        <f>IF(C82&lt;=0,0,MIN($B$9,C82-F82))</f>
        <v/>
      </c>
      <c r="H82" s="16" t="n"/>
      <c r="I82" s="15">
        <f>MAX(0,C82-F82-G82-MIN(N(H82),MAX(0,C82-F82-G82)))</f>
        <v/>
      </c>
      <c r="J82" s="17">
        <f>L81</f>
        <v/>
      </c>
      <c r="K82" s="17">
        <f>ROUND(J82*M82/1200,0)</f>
        <v/>
      </c>
      <c r="L82" s="17">
        <f>MAX(0,J82-(MIN($B$12,J82+K82)-K82))</f>
        <v/>
      </c>
      <c r="M82" s="18">
        <f>M81</f>
        <v/>
      </c>
    </row>
    <row r="83">
      <c r="A83" t="n">
        <v>62</v>
      </c>
      <c r="B83" s="14">
        <f>EDATE($B$8,61)</f>
        <v/>
      </c>
      <c r="C83" s="15">
        <f>I82</f>
        <v/>
      </c>
      <c r="D83" s="15">
        <f>IF(C83&lt;=0,0,MIN($B$12,C83+E83))</f>
        <v/>
      </c>
      <c r="E83" s="15">
        <f>ROUND(C83*M83/1200,0)</f>
        <v/>
      </c>
      <c r="F83" s="15">
        <f>D83-E83</f>
        <v/>
      </c>
      <c r="G83" s="15">
        <f>IF(C83&lt;=0,0,MIN($B$9,C83-F83))</f>
        <v/>
      </c>
      <c r="H83" s="16" t="n"/>
      <c r="I83" s="15">
        <f>MAX(0,C83-F83-G83-MIN(N(H83),MAX(0,C83-F83-G83)))</f>
        <v/>
      </c>
      <c r="J83" s="17">
        <f>L82</f>
        <v/>
      </c>
      <c r="K83" s="17">
        <f>ROUND(J83*M83/1200,0)</f>
        <v/>
      </c>
      <c r="L83" s="17">
        <f>MAX(0,J83-(MIN($B$12,J83+K83)-K83))</f>
        <v/>
      </c>
      <c r="M83" s="18">
        <f>M82</f>
        <v/>
      </c>
    </row>
    <row r="84">
      <c r="A84" t="n">
        <v>63</v>
      </c>
      <c r="B84" s="14">
        <f>EDATE($B$8,62)</f>
        <v/>
      </c>
      <c r="C84" s="15">
        <f>I83</f>
        <v/>
      </c>
      <c r="D84" s="15">
        <f>IF(C84&lt;=0,0,MIN($B$12,C84+E84))</f>
        <v/>
      </c>
      <c r="E84" s="15">
        <f>ROUND(C84*M84/1200,0)</f>
        <v/>
      </c>
      <c r="F84" s="15">
        <f>D84-E84</f>
        <v/>
      </c>
      <c r="G84" s="15">
        <f>IF(C84&lt;=0,0,MIN($B$9,C84-F84))</f>
        <v/>
      </c>
      <c r="H84" s="16" t="n"/>
      <c r="I84" s="15">
        <f>MAX(0,C84-F84-G84-MIN(N(H84),MAX(0,C84-F84-G84)))</f>
        <v/>
      </c>
      <c r="J84" s="17">
        <f>L83</f>
        <v/>
      </c>
      <c r="K84" s="17">
        <f>ROUND(J84*M84/1200,0)</f>
        <v/>
      </c>
      <c r="L84" s="17">
        <f>MAX(0,J84-(MIN($B$12,J84+K84)-K84))</f>
        <v/>
      </c>
      <c r="M84" s="18">
        <f>M83</f>
        <v/>
      </c>
    </row>
    <row r="85">
      <c r="A85" t="n">
        <v>64</v>
      </c>
      <c r="B85" s="14">
        <f>EDATE($B$8,63)</f>
        <v/>
      </c>
      <c r="C85" s="15">
        <f>I84</f>
        <v/>
      </c>
      <c r="D85" s="15">
        <f>IF(C85&lt;=0,0,MIN($B$12,C85+E85))</f>
        <v/>
      </c>
      <c r="E85" s="15">
        <f>ROUND(C85*M85/1200,0)</f>
        <v/>
      </c>
      <c r="F85" s="15">
        <f>D85-E85</f>
        <v/>
      </c>
      <c r="G85" s="15">
        <f>IF(C85&lt;=0,0,MIN($B$9,C85-F85))</f>
        <v/>
      </c>
      <c r="H85" s="16" t="n"/>
      <c r="I85" s="15">
        <f>MAX(0,C85-F85-G85-MIN(N(H85),MAX(0,C85-F85-G85)))</f>
        <v/>
      </c>
      <c r="J85" s="17">
        <f>L84</f>
        <v/>
      </c>
      <c r="K85" s="17">
        <f>ROUND(J85*M85/1200,0)</f>
        <v/>
      </c>
      <c r="L85" s="17">
        <f>MAX(0,J85-(MIN($B$12,J85+K85)-K85))</f>
        <v/>
      </c>
      <c r="M85" s="18">
        <f>M84</f>
        <v/>
      </c>
    </row>
    <row r="86">
      <c r="A86" t="n">
        <v>65</v>
      </c>
      <c r="B86" s="14">
        <f>EDATE($B$8,64)</f>
        <v/>
      </c>
      <c r="C86" s="15">
        <f>I85</f>
        <v/>
      </c>
      <c r="D86" s="15">
        <f>IF(C86&lt;=0,0,MIN($B$12,C86+E86))</f>
        <v/>
      </c>
      <c r="E86" s="15">
        <f>ROUND(C86*M86/1200,0)</f>
        <v/>
      </c>
      <c r="F86" s="15">
        <f>D86-E86</f>
        <v/>
      </c>
      <c r="G86" s="15">
        <f>IF(C86&lt;=0,0,MIN($B$9,C86-F86))</f>
        <v/>
      </c>
      <c r="H86" s="16" t="n"/>
      <c r="I86" s="15">
        <f>MAX(0,C86-F86-G86-MIN(N(H86),MAX(0,C86-F86-G86)))</f>
        <v/>
      </c>
      <c r="J86" s="17">
        <f>L85</f>
        <v/>
      </c>
      <c r="K86" s="17">
        <f>ROUND(J86*M86/1200,0)</f>
        <v/>
      </c>
      <c r="L86" s="17">
        <f>MAX(0,J86-(MIN($B$12,J86+K86)-K86))</f>
        <v/>
      </c>
      <c r="M86" s="18">
        <f>M85</f>
        <v/>
      </c>
    </row>
    <row r="87">
      <c r="A87" t="n">
        <v>66</v>
      </c>
      <c r="B87" s="14">
        <f>EDATE($B$8,65)</f>
        <v/>
      </c>
      <c r="C87" s="15">
        <f>I86</f>
        <v/>
      </c>
      <c r="D87" s="15">
        <f>IF(C87&lt;=0,0,MIN($B$12,C87+E87))</f>
        <v/>
      </c>
      <c r="E87" s="15">
        <f>ROUND(C87*M87/1200,0)</f>
        <v/>
      </c>
      <c r="F87" s="15">
        <f>D87-E87</f>
        <v/>
      </c>
      <c r="G87" s="15">
        <f>IF(C87&lt;=0,0,MIN($B$9,C87-F87))</f>
        <v/>
      </c>
      <c r="H87" s="16" t="n"/>
      <c r="I87" s="15">
        <f>MAX(0,C87-F87-G87-MIN(N(H87),MAX(0,C87-F87-G87)))</f>
        <v/>
      </c>
      <c r="J87" s="17">
        <f>L86</f>
        <v/>
      </c>
      <c r="K87" s="17">
        <f>ROUND(J87*M87/1200,0)</f>
        <v/>
      </c>
      <c r="L87" s="17">
        <f>MAX(0,J87-(MIN($B$12,J87+K87)-K87))</f>
        <v/>
      </c>
      <c r="M87" s="18">
        <f>M86</f>
        <v/>
      </c>
    </row>
    <row r="88">
      <c r="A88" t="n">
        <v>67</v>
      </c>
      <c r="B88" s="14">
        <f>EDATE($B$8,66)</f>
        <v/>
      </c>
      <c r="C88" s="15">
        <f>I87</f>
        <v/>
      </c>
      <c r="D88" s="15">
        <f>IF(C88&lt;=0,0,MIN($B$12,C88+E88))</f>
        <v/>
      </c>
      <c r="E88" s="15">
        <f>ROUND(C88*M88/1200,0)</f>
        <v/>
      </c>
      <c r="F88" s="15">
        <f>D88-E88</f>
        <v/>
      </c>
      <c r="G88" s="15">
        <f>IF(C88&lt;=0,0,MIN($B$9,C88-F88))</f>
        <v/>
      </c>
      <c r="H88" s="16" t="n"/>
      <c r="I88" s="15">
        <f>MAX(0,C88-F88-G88-MIN(N(H88),MAX(0,C88-F88-G88)))</f>
        <v/>
      </c>
      <c r="J88" s="17">
        <f>L87</f>
        <v/>
      </c>
      <c r="K88" s="17">
        <f>ROUND(J88*M88/1200,0)</f>
        <v/>
      </c>
      <c r="L88" s="17">
        <f>MAX(0,J88-(MIN($B$12,J88+K88)-K88))</f>
        <v/>
      </c>
      <c r="M88" s="18">
        <f>M87</f>
        <v/>
      </c>
    </row>
    <row r="89">
      <c r="A89" t="n">
        <v>68</v>
      </c>
      <c r="B89" s="14">
        <f>EDATE($B$8,67)</f>
        <v/>
      </c>
      <c r="C89" s="15">
        <f>I88</f>
        <v/>
      </c>
      <c r="D89" s="15">
        <f>IF(C89&lt;=0,0,MIN($B$12,C89+E89))</f>
        <v/>
      </c>
      <c r="E89" s="15">
        <f>ROUND(C89*M89/1200,0)</f>
        <v/>
      </c>
      <c r="F89" s="15">
        <f>D89-E89</f>
        <v/>
      </c>
      <c r="G89" s="15">
        <f>IF(C89&lt;=0,0,MIN($B$9,C89-F89))</f>
        <v/>
      </c>
      <c r="H89" s="16" t="n"/>
      <c r="I89" s="15">
        <f>MAX(0,C89-F89-G89-MIN(N(H89),MAX(0,C89-F89-G89)))</f>
        <v/>
      </c>
      <c r="J89" s="17">
        <f>L88</f>
        <v/>
      </c>
      <c r="K89" s="17">
        <f>ROUND(J89*M89/1200,0)</f>
        <v/>
      </c>
      <c r="L89" s="17">
        <f>MAX(0,J89-(MIN($B$12,J89+K89)-K89))</f>
        <v/>
      </c>
      <c r="M89" s="18">
        <f>M88</f>
        <v/>
      </c>
    </row>
    <row r="90">
      <c r="A90" t="n">
        <v>69</v>
      </c>
      <c r="B90" s="14">
        <f>EDATE($B$8,68)</f>
        <v/>
      </c>
      <c r="C90" s="15">
        <f>I89</f>
        <v/>
      </c>
      <c r="D90" s="15">
        <f>IF(C90&lt;=0,0,MIN($B$12,C90+E90))</f>
        <v/>
      </c>
      <c r="E90" s="15">
        <f>ROUND(C90*M90/1200,0)</f>
        <v/>
      </c>
      <c r="F90" s="15">
        <f>D90-E90</f>
        <v/>
      </c>
      <c r="G90" s="15">
        <f>IF(C90&lt;=0,0,MIN($B$9,C90-F90))</f>
        <v/>
      </c>
      <c r="H90" s="16" t="n"/>
      <c r="I90" s="15">
        <f>MAX(0,C90-F90-G90-MIN(N(H90),MAX(0,C90-F90-G90)))</f>
        <v/>
      </c>
      <c r="J90" s="17">
        <f>L89</f>
        <v/>
      </c>
      <c r="K90" s="17">
        <f>ROUND(J90*M90/1200,0)</f>
        <v/>
      </c>
      <c r="L90" s="17">
        <f>MAX(0,J90-(MIN($B$12,J90+K90)-K90))</f>
        <v/>
      </c>
      <c r="M90" s="18">
        <f>M89</f>
        <v/>
      </c>
    </row>
    <row r="91">
      <c r="A91" t="n">
        <v>70</v>
      </c>
      <c r="B91" s="14">
        <f>EDATE($B$8,69)</f>
        <v/>
      </c>
      <c r="C91" s="15">
        <f>I90</f>
        <v/>
      </c>
      <c r="D91" s="15">
        <f>IF(C91&lt;=0,0,MIN($B$12,C91+E91))</f>
        <v/>
      </c>
      <c r="E91" s="15">
        <f>ROUND(C91*M91/1200,0)</f>
        <v/>
      </c>
      <c r="F91" s="15">
        <f>D91-E91</f>
        <v/>
      </c>
      <c r="G91" s="15">
        <f>IF(C91&lt;=0,0,MIN($B$9,C91-F91))</f>
        <v/>
      </c>
      <c r="H91" s="16" t="n"/>
      <c r="I91" s="15">
        <f>MAX(0,C91-F91-G91-MIN(N(H91),MAX(0,C91-F91-G91)))</f>
        <v/>
      </c>
      <c r="J91" s="17">
        <f>L90</f>
        <v/>
      </c>
      <c r="K91" s="17">
        <f>ROUND(J91*M91/1200,0)</f>
        <v/>
      </c>
      <c r="L91" s="17">
        <f>MAX(0,J91-(MIN($B$12,J91+K91)-K91))</f>
        <v/>
      </c>
      <c r="M91" s="18">
        <f>M90</f>
        <v/>
      </c>
    </row>
    <row r="92">
      <c r="A92" t="n">
        <v>71</v>
      </c>
      <c r="B92" s="14">
        <f>EDATE($B$8,70)</f>
        <v/>
      </c>
      <c r="C92" s="15">
        <f>I91</f>
        <v/>
      </c>
      <c r="D92" s="15">
        <f>IF(C92&lt;=0,0,MIN($B$12,C92+E92))</f>
        <v/>
      </c>
      <c r="E92" s="15">
        <f>ROUND(C92*M92/1200,0)</f>
        <v/>
      </c>
      <c r="F92" s="15">
        <f>D92-E92</f>
        <v/>
      </c>
      <c r="G92" s="15">
        <f>IF(C92&lt;=0,0,MIN($B$9,C92-F92))</f>
        <v/>
      </c>
      <c r="H92" s="16" t="n"/>
      <c r="I92" s="15">
        <f>MAX(0,C92-F92-G92-MIN(N(H92),MAX(0,C92-F92-G92)))</f>
        <v/>
      </c>
      <c r="J92" s="17">
        <f>L91</f>
        <v/>
      </c>
      <c r="K92" s="17">
        <f>ROUND(J92*M92/1200,0)</f>
        <v/>
      </c>
      <c r="L92" s="17">
        <f>MAX(0,J92-(MIN($B$12,J92+K92)-K92))</f>
        <v/>
      </c>
      <c r="M92" s="18">
        <f>M91</f>
        <v/>
      </c>
    </row>
    <row r="93">
      <c r="A93" t="n">
        <v>72</v>
      </c>
      <c r="B93" s="14">
        <f>EDATE($B$8,71)</f>
        <v/>
      </c>
      <c r="C93" s="15">
        <f>I92</f>
        <v/>
      </c>
      <c r="D93" s="15">
        <f>IF(C93&lt;=0,0,MIN($B$12,C93+E93))</f>
        <v/>
      </c>
      <c r="E93" s="15">
        <f>ROUND(C93*M93/1200,0)</f>
        <v/>
      </c>
      <c r="F93" s="15">
        <f>D93-E93</f>
        <v/>
      </c>
      <c r="G93" s="15">
        <f>IF(C93&lt;=0,0,MIN($B$9,C93-F93))</f>
        <v/>
      </c>
      <c r="H93" s="16" t="n"/>
      <c r="I93" s="15">
        <f>MAX(0,C93-F93-G93-MIN(N(H93),MAX(0,C93-F93-G93)))</f>
        <v/>
      </c>
      <c r="J93" s="17">
        <f>L92</f>
        <v/>
      </c>
      <c r="K93" s="17">
        <f>ROUND(J93*M93/1200,0)</f>
        <v/>
      </c>
      <c r="L93" s="17">
        <f>MAX(0,J93-(MIN($B$12,J93+K93)-K93))</f>
        <v/>
      </c>
      <c r="M93" s="18">
        <f>M92</f>
        <v/>
      </c>
    </row>
    <row r="94">
      <c r="A94" t="n">
        <v>73</v>
      </c>
      <c r="B94" s="14">
        <f>EDATE($B$8,72)</f>
        <v/>
      </c>
      <c r="C94" s="15">
        <f>I93</f>
        <v/>
      </c>
      <c r="D94" s="15">
        <f>IF(C94&lt;=0,0,MIN($B$12,C94+E94))</f>
        <v/>
      </c>
      <c r="E94" s="15">
        <f>ROUND(C94*M94/1200,0)</f>
        <v/>
      </c>
      <c r="F94" s="15">
        <f>D94-E94</f>
        <v/>
      </c>
      <c r="G94" s="15">
        <f>IF(C94&lt;=0,0,MIN($B$9,C94-F94))</f>
        <v/>
      </c>
      <c r="H94" s="16" t="n"/>
      <c r="I94" s="15">
        <f>MAX(0,C94-F94-G94-MIN(N(H94),MAX(0,C94-F94-G94)))</f>
        <v/>
      </c>
      <c r="J94" s="17">
        <f>L93</f>
        <v/>
      </c>
      <c r="K94" s="17">
        <f>ROUND(J94*M94/1200,0)</f>
        <v/>
      </c>
      <c r="L94" s="17">
        <f>MAX(0,J94-(MIN($B$12,J94+K94)-K94))</f>
        <v/>
      </c>
      <c r="M94" s="18">
        <f>M93</f>
        <v/>
      </c>
    </row>
    <row r="95">
      <c r="A95" t="n">
        <v>74</v>
      </c>
      <c r="B95" s="14">
        <f>EDATE($B$8,73)</f>
        <v/>
      </c>
      <c r="C95" s="15">
        <f>I94</f>
        <v/>
      </c>
      <c r="D95" s="15">
        <f>IF(C95&lt;=0,0,MIN($B$12,C95+E95))</f>
        <v/>
      </c>
      <c r="E95" s="15">
        <f>ROUND(C95*M95/1200,0)</f>
        <v/>
      </c>
      <c r="F95" s="15">
        <f>D95-E95</f>
        <v/>
      </c>
      <c r="G95" s="15">
        <f>IF(C95&lt;=0,0,MIN($B$9,C95-F95))</f>
        <v/>
      </c>
      <c r="H95" s="16" t="n"/>
      <c r="I95" s="15">
        <f>MAX(0,C95-F95-G95-MIN(N(H95),MAX(0,C95-F95-G95)))</f>
        <v/>
      </c>
      <c r="J95" s="17">
        <f>L94</f>
        <v/>
      </c>
      <c r="K95" s="17">
        <f>ROUND(J95*M95/1200,0)</f>
        <v/>
      </c>
      <c r="L95" s="17">
        <f>MAX(0,J95-(MIN($B$12,J95+K95)-K95))</f>
        <v/>
      </c>
      <c r="M95" s="18">
        <f>M94</f>
        <v/>
      </c>
    </row>
    <row r="96">
      <c r="A96" t="n">
        <v>75</v>
      </c>
      <c r="B96" s="14">
        <f>EDATE($B$8,74)</f>
        <v/>
      </c>
      <c r="C96" s="15">
        <f>I95</f>
        <v/>
      </c>
      <c r="D96" s="15">
        <f>IF(C96&lt;=0,0,MIN($B$12,C96+E96))</f>
        <v/>
      </c>
      <c r="E96" s="15">
        <f>ROUND(C96*M96/1200,0)</f>
        <v/>
      </c>
      <c r="F96" s="15">
        <f>D96-E96</f>
        <v/>
      </c>
      <c r="G96" s="15">
        <f>IF(C96&lt;=0,0,MIN($B$9,C96-F96))</f>
        <v/>
      </c>
      <c r="H96" s="16" t="n"/>
      <c r="I96" s="15">
        <f>MAX(0,C96-F96-G96-MIN(N(H96),MAX(0,C96-F96-G96)))</f>
        <v/>
      </c>
      <c r="J96" s="17">
        <f>L95</f>
        <v/>
      </c>
      <c r="K96" s="17">
        <f>ROUND(J96*M96/1200,0)</f>
        <v/>
      </c>
      <c r="L96" s="17">
        <f>MAX(0,J96-(MIN($B$12,J96+K96)-K96))</f>
        <v/>
      </c>
      <c r="M96" s="18">
        <f>M95</f>
        <v/>
      </c>
    </row>
    <row r="97">
      <c r="A97" t="n">
        <v>76</v>
      </c>
      <c r="B97" s="14">
        <f>EDATE($B$8,75)</f>
        <v/>
      </c>
      <c r="C97" s="15">
        <f>I96</f>
        <v/>
      </c>
      <c r="D97" s="15">
        <f>IF(C97&lt;=0,0,MIN($B$12,C97+E97))</f>
        <v/>
      </c>
      <c r="E97" s="15">
        <f>ROUND(C97*M97/1200,0)</f>
        <v/>
      </c>
      <c r="F97" s="15">
        <f>D97-E97</f>
        <v/>
      </c>
      <c r="G97" s="15">
        <f>IF(C97&lt;=0,0,MIN($B$9,C97-F97))</f>
        <v/>
      </c>
      <c r="H97" s="16" t="n"/>
      <c r="I97" s="15">
        <f>MAX(0,C97-F97-G97-MIN(N(H97),MAX(0,C97-F97-G97)))</f>
        <v/>
      </c>
      <c r="J97" s="17">
        <f>L96</f>
        <v/>
      </c>
      <c r="K97" s="17">
        <f>ROUND(J97*M97/1200,0)</f>
        <v/>
      </c>
      <c r="L97" s="17">
        <f>MAX(0,J97-(MIN($B$12,J97+K97)-K97))</f>
        <v/>
      </c>
      <c r="M97" s="18">
        <f>M96</f>
        <v/>
      </c>
    </row>
    <row r="98">
      <c r="A98" t="n">
        <v>77</v>
      </c>
      <c r="B98" s="14">
        <f>EDATE($B$8,76)</f>
        <v/>
      </c>
      <c r="C98" s="15">
        <f>I97</f>
        <v/>
      </c>
      <c r="D98" s="15">
        <f>IF(C98&lt;=0,0,MIN($B$12,C98+E98))</f>
        <v/>
      </c>
      <c r="E98" s="15">
        <f>ROUND(C98*M98/1200,0)</f>
        <v/>
      </c>
      <c r="F98" s="15">
        <f>D98-E98</f>
        <v/>
      </c>
      <c r="G98" s="15">
        <f>IF(C98&lt;=0,0,MIN($B$9,C98-F98))</f>
        <v/>
      </c>
      <c r="H98" s="16" t="n"/>
      <c r="I98" s="15">
        <f>MAX(0,C98-F98-G98-MIN(N(H98),MAX(0,C98-F98-G98)))</f>
        <v/>
      </c>
      <c r="J98" s="17">
        <f>L97</f>
        <v/>
      </c>
      <c r="K98" s="17">
        <f>ROUND(J98*M98/1200,0)</f>
        <v/>
      </c>
      <c r="L98" s="17">
        <f>MAX(0,J98-(MIN($B$12,J98+K98)-K98))</f>
        <v/>
      </c>
      <c r="M98" s="18">
        <f>M97</f>
        <v/>
      </c>
    </row>
    <row r="99">
      <c r="A99" t="n">
        <v>78</v>
      </c>
      <c r="B99" s="14">
        <f>EDATE($B$8,77)</f>
        <v/>
      </c>
      <c r="C99" s="15">
        <f>I98</f>
        <v/>
      </c>
      <c r="D99" s="15">
        <f>IF(C99&lt;=0,0,MIN($B$12,C99+E99))</f>
        <v/>
      </c>
      <c r="E99" s="15">
        <f>ROUND(C99*M99/1200,0)</f>
        <v/>
      </c>
      <c r="F99" s="15">
        <f>D99-E99</f>
        <v/>
      </c>
      <c r="G99" s="15">
        <f>IF(C99&lt;=0,0,MIN($B$9,C99-F99))</f>
        <v/>
      </c>
      <c r="H99" s="16" t="n"/>
      <c r="I99" s="15">
        <f>MAX(0,C99-F99-G99-MIN(N(H99),MAX(0,C99-F99-G99)))</f>
        <v/>
      </c>
      <c r="J99" s="17">
        <f>L98</f>
        <v/>
      </c>
      <c r="K99" s="17">
        <f>ROUND(J99*M99/1200,0)</f>
        <v/>
      </c>
      <c r="L99" s="17">
        <f>MAX(0,J99-(MIN($B$12,J99+K99)-K99))</f>
        <v/>
      </c>
      <c r="M99" s="18">
        <f>M98</f>
        <v/>
      </c>
    </row>
    <row r="100">
      <c r="A100" t="n">
        <v>79</v>
      </c>
      <c r="B100" s="14">
        <f>EDATE($B$8,78)</f>
        <v/>
      </c>
      <c r="C100" s="15">
        <f>I99</f>
        <v/>
      </c>
      <c r="D100" s="15">
        <f>IF(C100&lt;=0,0,MIN($B$12,C100+E100))</f>
        <v/>
      </c>
      <c r="E100" s="15">
        <f>ROUND(C100*M100/1200,0)</f>
        <v/>
      </c>
      <c r="F100" s="15">
        <f>D100-E100</f>
        <v/>
      </c>
      <c r="G100" s="15">
        <f>IF(C100&lt;=0,0,MIN($B$9,C100-F100))</f>
        <v/>
      </c>
      <c r="H100" s="16" t="n"/>
      <c r="I100" s="15">
        <f>MAX(0,C100-F100-G100-MIN(N(H100),MAX(0,C100-F100-G100)))</f>
        <v/>
      </c>
      <c r="J100" s="17">
        <f>L99</f>
        <v/>
      </c>
      <c r="K100" s="17">
        <f>ROUND(J100*M100/1200,0)</f>
        <v/>
      </c>
      <c r="L100" s="17">
        <f>MAX(0,J100-(MIN($B$12,J100+K100)-K100))</f>
        <v/>
      </c>
      <c r="M100" s="18">
        <f>M99</f>
        <v/>
      </c>
    </row>
    <row r="101">
      <c r="A101" t="n">
        <v>80</v>
      </c>
      <c r="B101" s="14">
        <f>EDATE($B$8,79)</f>
        <v/>
      </c>
      <c r="C101" s="15">
        <f>I100</f>
        <v/>
      </c>
      <c r="D101" s="15">
        <f>IF(C101&lt;=0,0,MIN($B$12,C101+E101))</f>
        <v/>
      </c>
      <c r="E101" s="15">
        <f>ROUND(C101*M101/1200,0)</f>
        <v/>
      </c>
      <c r="F101" s="15">
        <f>D101-E101</f>
        <v/>
      </c>
      <c r="G101" s="15">
        <f>IF(C101&lt;=0,0,MIN($B$9,C101-F101))</f>
        <v/>
      </c>
      <c r="H101" s="16" t="n"/>
      <c r="I101" s="15">
        <f>MAX(0,C101-F101-G101-MIN(N(H101),MAX(0,C101-F101-G101)))</f>
        <v/>
      </c>
      <c r="J101" s="17">
        <f>L100</f>
        <v/>
      </c>
      <c r="K101" s="17">
        <f>ROUND(J101*M101/1200,0)</f>
        <v/>
      </c>
      <c r="L101" s="17">
        <f>MAX(0,J101-(MIN($B$12,J101+K101)-K101))</f>
        <v/>
      </c>
      <c r="M101" s="18">
        <f>M100</f>
        <v/>
      </c>
    </row>
    <row r="102">
      <c r="A102" t="n">
        <v>81</v>
      </c>
      <c r="B102" s="14">
        <f>EDATE($B$8,80)</f>
        <v/>
      </c>
      <c r="C102" s="15">
        <f>I101</f>
        <v/>
      </c>
      <c r="D102" s="15">
        <f>IF(C102&lt;=0,0,MIN($B$12,C102+E102))</f>
        <v/>
      </c>
      <c r="E102" s="15">
        <f>ROUND(C102*M102/1200,0)</f>
        <v/>
      </c>
      <c r="F102" s="15">
        <f>D102-E102</f>
        <v/>
      </c>
      <c r="G102" s="15">
        <f>IF(C102&lt;=0,0,MIN($B$9,C102-F102))</f>
        <v/>
      </c>
      <c r="H102" s="16" t="n"/>
      <c r="I102" s="15">
        <f>MAX(0,C102-F102-G102-MIN(N(H102),MAX(0,C102-F102-G102)))</f>
        <v/>
      </c>
      <c r="J102" s="17">
        <f>L101</f>
        <v/>
      </c>
      <c r="K102" s="17">
        <f>ROUND(J102*M102/1200,0)</f>
        <v/>
      </c>
      <c r="L102" s="17">
        <f>MAX(0,J102-(MIN($B$12,J102+K102)-K102))</f>
        <v/>
      </c>
      <c r="M102" s="18">
        <f>M101</f>
        <v/>
      </c>
    </row>
    <row r="103">
      <c r="A103" t="n">
        <v>82</v>
      </c>
      <c r="B103" s="14">
        <f>EDATE($B$8,81)</f>
        <v/>
      </c>
      <c r="C103" s="15">
        <f>I102</f>
        <v/>
      </c>
      <c r="D103" s="15">
        <f>IF(C103&lt;=0,0,MIN($B$12,C103+E103))</f>
        <v/>
      </c>
      <c r="E103" s="15">
        <f>ROUND(C103*M103/1200,0)</f>
        <v/>
      </c>
      <c r="F103" s="15">
        <f>D103-E103</f>
        <v/>
      </c>
      <c r="G103" s="15">
        <f>IF(C103&lt;=0,0,MIN($B$9,C103-F103))</f>
        <v/>
      </c>
      <c r="H103" s="16" t="n"/>
      <c r="I103" s="15">
        <f>MAX(0,C103-F103-G103-MIN(N(H103),MAX(0,C103-F103-G103)))</f>
        <v/>
      </c>
      <c r="J103" s="17">
        <f>L102</f>
        <v/>
      </c>
      <c r="K103" s="17">
        <f>ROUND(J103*M103/1200,0)</f>
        <v/>
      </c>
      <c r="L103" s="17">
        <f>MAX(0,J103-(MIN($B$12,J103+K103)-K103))</f>
        <v/>
      </c>
      <c r="M103" s="18">
        <f>M102</f>
        <v/>
      </c>
    </row>
    <row r="104">
      <c r="A104" t="n">
        <v>83</v>
      </c>
      <c r="B104" s="14">
        <f>EDATE($B$8,82)</f>
        <v/>
      </c>
      <c r="C104" s="15">
        <f>I103</f>
        <v/>
      </c>
      <c r="D104" s="15">
        <f>IF(C104&lt;=0,0,MIN($B$12,C104+E104))</f>
        <v/>
      </c>
      <c r="E104" s="15">
        <f>ROUND(C104*M104/1200,0)</f>
        <v/>
      </c>
      <c r="F104" s="15">
        <f>D104-E104</f>
        <v/>
      </c>
      <c r="G104" s="15">
        <f>IF(C104&lt;=0,0,MIN($B$9,C104-F104))</f>
        <v/>
      </c>
      <c r="H104" s="16" t="n"/>
      <c r="I104" s="15">
        <f>MAX(0,C104-F104-G104-MIN(N(H104),MAX(0,C104-F104-G104)))</f>
        <v/>
      </c>
      <c r="J104" s="17">
        <f>L103</f>
        <v/>
      </c>
      <c r="K104" s="17">
        <f>ROUND(J104*M104/1200,0)</f>
        <v/>
      </c>
      <c r="L104" s="17">
        <f>MAX(0,J104-(MIN($B$12,J104+K104)-K104))</f>
        <v/>
      </c>
      <c r="M104" s="18">
        <f>M103</f>
        <v/>
      </c>
    </row>
    <row r="105">
      <c r="A105" t="n">
        <v>84</v>
      </c>
      <c r="B105" s="14">
        <f>EDATE($B$8,83)</f>
        <v/>
      </c>
      <c r="C105" s="15">
        <f>I104</f>
        <v/>
      </c>
      <c r="D105" s="15">
        <f>IF(C105&lt;=0,0,MIN($B$12,C105+E105))</f>
        <v/>
      </c>
      <c r="E105" s="15">
        <f>ROUND(C105*M105/1200,0)</f>
        <v/>
      </c>
      <c r="F105" s="15">
        <f>D105-E105</f>
        <v/>
      </c>
      <c r="G105" s="15">
        <f>IF(C105&lt;=0,0,MIN($B$9,C105-F105))</f>
        <v/>
      </c>
      <c r="H105" s="16" t="n"/>
      <c r="I105" s="15">
        <f>MAX(0,C105-F105-G105-MIN(N(H105),MAX(0,C105-F105-G105)))</f>
        <v/>
      </c>
      <c r="J105" s="17">
        <f>L104</f>
        <v/>
      </c>
      <c r="K105" s="17">
        <f>ROUND(J105*M105/1200,0)</f>
        <v/>
      </c>
      <c r="L105" s="17">
        <f>MAX(0,J105-(MIN($B$12,J105+K105)-K105))</f>
        <v/>
      </c>
      <c r="M105" s="18">
        <f>M104</f>
        <v/>
      </c>
    </row>
    <row r="106">
      <c r="A106" t="n">
        <v>85</v>
      </c>
      <c r="B106" s="14">
        <f>EDATE($B$8,84)</f>
        <v/>
      </c>
      <c r="C106" s="15">
        <f>I105</f>
        <v/>
      </c>
      <c r="D106" s="15">
        <f>IF(C106&lt;=0,0,MIN($B$12,C106+E106))</f>
        <v/>
      </c>
      <c r="E106" s="15">
        <f>ROUND(C106*M106/1200,0)</f>
        <v/>
      </c>
      <c r="F106" s="15">
        <f>D106-E106</f>
        <v/>
      </c>
      <c r="G106" s="15">
        <f>IF(C106&lt;=0,0,MIN($B$9,C106-F106))</f>
        <v/>
      </c>
      <c r="H106" s="16" t="n"/>
      <c r="I106" s="15">
        <f>MAX(0,C106-F106-G106-MIN(N(H106),MAX(0,C106-F106-G106)))</f>
        <v/>
      </c>
      <c r="J106" s="17">
        <f>L105</f>
        <v/>
      </c>
      <c r="K106" s="17">
        <f>ROUND(J106*M106/1200,0)</f>
        <v/>
      </c>
      <c r="L106" s="17">
        <f>MAX(0,J106-(MIN($B$12,J106+K106)-K106))</f>
        <v/>
      </c>
      <c r="M106" s="18">
        <f>M105</f>
        <v/>
      </c>
    </row>
    <row r="107">
      <c r="A107" t="n">
        <v>86</v>
      </c>
      <c r="B107" s="14">
        <f>EDATE($B$8,85)</f>
        <v/>
      </c>
      <c r="C107" s="15">
        <f>I106</f>
        <v/>
      </c>
      <c r="D107" s="15">
        <f>IF(C107&lt;=0,0,MIN($B$12,C107+E107))</f>
        <v/>
      </c>
      <c r="E107" s="15">
        <f>ROUND(C107*M107/1200,0)</f>
        <v/>
      </c>
      <c r="F107" s="15">
        <f>D107-E107</f>
        <v/>
      </c>
      <c r="G107" s="15">
        <f>IF(C107&lt;=0,0,MIN($B$9,C107-F107))</f>
        <v/>
      </c>
      <c r="H107" s="16" t="n"/>
      <c r="I107" s="15">
        <f>MAX(0,C107-F107-G107-MIN(N(H107),MAX(0,C107-F107-G107)))</f>
        <v/>
      </c>
      <c r="J107" s="17">
        <f>L106</f>
        <v/>
      </c>
      <c r="K107" s="17">
        <f>ROUND(J107*M107/1200,0)</f>
        <v/>
      </c>
      <c r="L107" s="17">
        <f>MAX(0,J107-(MIN($B$12,J107+K107)-K107))</f>
        <v/>
      </c>
      <c r="M107" s="18">
        <f>M106</f>
        <v/>
      </c>
    </row>
    <row r="108">
      <c r="A108" t="n">
        <v>87</v>
      </c>
      <c r="B108" s="14">
        <f>EDATE($B$8,86)</f>
        <v/>
      </c>
      <c r="C108" s="15">
        <f>I107</f>
        <v/>
      </c>
      <c r="D108" s="15">
        <f>IF(C108&lt;=0,0,MIN($B$12,C108+E108))</f>
        <v/>
      </c>
      <c r="E108" s="15">
        <f>ROUND(C108*M108/1200,0)</f>
        <v/>
      </c>
      <c r="F108" s="15">
        <f>D108-E108</f>
        <v/>
      </c>
      <c r="G108" s="15">
        <f>IF(C108&lt;=0,0,MIN($B$9,C108-F108))</f>
        <v/>
      </c>
      <c r="H108" s="16" t="n"/>
      <c r="I108" s="15">
        <f>MAX(0,C108-F108-G108-MIN(N(H108),MAX(0,C108-F108-G108)))</f>
        <v/>
      </c>
      <c r="J108" s="17">
        <f>L107</f>
        <v/>
      </c>
      <c r="K108" s="17">
        <f>ROUND(J108*M108/1200,0)</f>
        <v/>
      </c>
      <c r="L108" s="17">
        <f>MAX(0,J108-(MIN($B$12,J108+K108)-K108))</f>
        <v/>
      </c>
      <c r="M108" s="18">
        <f>M107</f>
        <v/>
      </c>
    </row>
    <row r="109">
      <c r="A109" t="n">
        <v>88</v>
      </c>
      <c r="B109" s="14">
        <f>EDATE($B$8,87)</f>
        <v/>
      </c>
      <c r="C109" s="15">
        <f>I108</f>
        <v/>
      </c>
      <c r="D109" s="15">
        <f>IF(C109&lt;=0,0,MIN($B$12,C109+E109))</f>
        <v/>
      </c>
      <c r="E109" s="15">
        <f>ROUND(C109*M109/1200,0)</f>
        <v/>
      </c>
      <c r="F109" s="15">
        <f>D109-E109</f>
        <v/>
      </c>
      <c r="G109" s="15">
        <f>IF(C109&lt;=0,0,MIN($B$9,C109-F109))</f>
        <v/>
      </c>
      <c r="H109" s="16" t="n"/>
      <c r="I109" s="15">
        <f>MAX(0,C109-F109-G109-MIN(N(H109),MAX(0,C109-F109-G109)))</f>
        <v/>
      </c>
      <c r="J109" s="17">
        <f>L108</f>
        <v/>
      </c>
      <c r="K109" s="17">
        <f>ROUND(J109*M109/1200,0)</f>
        <v/>
      </c>
      <c r="L109" s="17">
        <f>MAX(0,J109-(MIN($B$12,J109+K109)-K109))</f>
        <v/>
      </c>
      <c r="M109" s="18">
        <f>M108</f>
        <v/>
      </c>
    </row>
    <row r="110">
      <c r="A110" t="n">
        <v>89</v>
      </c>
      <c r="B110" s="14">
        <f>EDATE($B$8,88)</f>
        <v/>
      </c>
      <c r="C110" s="15">
        <f>I109</f>
        <v/>
      </c>
      <c r="D110" s="15">
        <f>IF(C110&lt;=0,0,MIN($B$12,C110+E110))</f>
        <v/>
      </c>
      <c r="E110" s="15">
        <f>ROUND(C110*M110/1200,0)</f>
        <v/>
      </c>
      <c r="F110" s="15">
        <f>D110-E110</f>
        <v/>
      </c>
      <c r="G110" s="15">
        <f>IF(C110&lt;=0,0,MIN($B$9,C110-F110))</f>
        <v/>
      </c>
      <c r="H110" s="16" t="n"/>
      <c r="I110" s="15">
        <f>MAX(0,C110-F110-G110-MIN(N(H110),MAX(0,C110-F110-G110)))</f>
        <v/>
      </c>
      <c r="J110" s="17">
        <f>L109</f>
        <v/>
      </c>
      <c r="K110" s="17">
        <f>ROUND(J110*M110/1200,0)</f>
        <v/>
      </c>
      <c r="L110" s="17">
        <f>MAX(0,J110-(MIN($B$12,J110+K110)-K110))</f>
        <v/>
      </c>
      <c r="M110" s="18">
        <f>M109</f>
        <v/>
      </c>
    </row>
    <row r="111">
      <c r="A111" t="n">
        <v>90</v>
      </c>
      <c r="B111" s="14">
        <f>EDATE($B$8,89)</f>
        <v/>
      </c>
      <c r="C111" s="15">
        <f>I110</f>
        <v/>
      </c>
      <c r="D111" s="15">
        <f>IF(C111&lt;=0,0,MIN($B$12,C111+E111))</f>
        <v/>
      </c>
      <c r="E111" s="15">
        <f>ROUND(C111*M111/1200,0)</f>
        <v/>
      </c>
      <c r="F111" s="15">
        <f>D111-E111</f>
        <v/>
      </c>
      <c r="G111" s="15">
        <f>IF(C111&lt;=0,0,MIN($B$9,C111-F111))</f>
        <v/>
      </c>
      <c r="H111" s="16" t="n"/>
      <c r="I111" s="15">
        <f>MAX(0,C111-F111-G111-MIN(N(H111),MAX(0,C111-F111-G111)))</f>
        <v/>
      </c>
      <c r="J111" s="17">
        <f>L110</f>
        <v/>
      </c>
      <c r="K111" s="17">
        <f>ROUND(J111*M111/1200,0)</f>
        <v/>
      </c>
      <c r="L111" s="17">
        <f>MAX(0,J111-(MIN($B$12,J111+K111)-K111))</f>
        <v/>
      </c>
      <c r="M111" s="18">
        <f>M110</f>
        <v/>
      </c>
    </row>
    <row r="112">
      <c r="A112" t="n">
        <v>91</v>
      </c>
      <c r="B112" s="14">
        <f>EDATE($B$8,90)</f>
        <v/>
      </c>
      <c r="C112" s="15">
        <f>I111</f>
        <v/>
      </c>
      <c r="D112" s="15">
        <f>IF(C112&lt;=0,0,MIN($B$12,C112+E112))</f>
        <v/>
      </c>
      <c r="E112" s="15">
        <f>ROUND(C112*M112/1200,0)</f>
        <v/>
      </c>
      <c r="F112" s="15">
        <f>D112-E112</f>
        <v/>
      </c>
      <c r="G112" s="15">
        <f>IF(C112&lt;=0,0,MIN($B$9,C112-F112))</f>
        <v/>
      </c>
      <c r="H112" s="16" t="n"/>
      <c r="I112" s="15">
        <f>MAX(0,C112-F112-G112-MIN(N(H112),MAX(0,C112-F112-G112)))</f>
        <v/>
      </c>
      <c r="J112" s="17">
        <f>L111</f>
        <v/>
      </c>
      <c r="K112" s="17">
        <f>ROUND(J112*M112/1200,0)</f>
        <v/>
      </c>
      <c r="L112" s="17">
        <f>MAX(0,J112-(MIN($B$12,J112+K112)-K112))</f>
        <v/>
      </c>
      <c r="M112" s="18">
        <f>M111</f>
        <v/>
      </c>
    </row>
    <row r="113">
      <c r="A113" t="n">
        <v>92</v>
      </c>
      <c r="B113" s="14">
        <f>EDATE($B$8,91)</f>
        <v/>
      </c>
      <c r="C113" s="15">
        <f>I112</f>
        <v/>
      </c>
      <c r="D113" s="15">
        <f>IF(C113&lt;=0,0,MIN($B$12,C113+E113))</f>
        <v/>
      </c>
      <c r="E113" s="15">
        <f>ROUND(C113*M113/1200,0)</f>
        <v/>
      </c>
      <c r="F113" s="15">
        <f>D113-E113</f>
        <v/>
      </c>
      <c r="G113" s="15">
        <f>IF(C113&lt;=0,0,MIN($B$9,C113-F113))</f>
        <v/>
      </c>
      <c r="H113" s="16" t="n"/>
      <c r="I113" s="15">
        <f>MAX(0,C113-F113-G113-MIN(N(H113),MAX(0,C113-F113-G113)))</f>
        <v/>
      </c>
      <c r="J113" s="17">
        <f>L112</f>
        <v/>
      </c>
      <c r="K113" s="17">
        <f>ROUND(J113*M113/1200,0)</f>
        <v/>
      </c>
      <c r="L113" s="17">
        <f>MAX(0,J113-(MIN($B$12,J113+K113)-K113))</f>
        <v/>
      </c>
      <c r="M113" s="18">
        <f>M112</f>
        <v/>
      </c>
    </row>
    <row r="114">
      <c r="A114" t="n">
        <v>93</v>
      </c>
      <c r="B114" s="14">
        <f>EDATE($B$8,92)</f>
        <v/>
      </c>
      <c r="C114" s="15">
        <f>I113</f>
        <v/>
      </c>
      <c r="D114" s="15">
        <f>IF(C114&lt;=0,0,MIN($B$12,C114+E114))</f>
        <v/>
      </c>
      <c r="E114" s="15">
        <f>ROUND(C114*M114/1200,0)</f>
        <v/>
      </c>
      <c r="F114" s="15">
        <f>D114-E114</f>
        <v/>
      </c>
      <c r="G114" s="15">
        <f>IF(C114&lt;=0,0,MIN($B$9,C114-F114))</f>
        <v/>
      </c>
      <c r="H114" s="16" t="n"/>
      <c r="I114" s="15">
        <f>MAX(0,C114-F114-G114-MIN(N(H114),MAX(0,C114-F114-G114)))</f>
        <v/>
      </c>
      <c r="J114" s="17">
        <f>L113</f>
        <v/>
      </c>
      <c r="K114" s="17">
        <f>ROUND(J114*M114/1200,0)</f>
        <v/>
      </c>
      <c r="L114" s="17">
        <f>MAX(0,J114-(MIN($B$12,J114+K114)-K114))</f>
        <v/>
      </c>
      <c r="M114" s="18">
        <f>M113</f>
        <v/>
      </c>
    </row>
    <row r="115">
      <c r="A115" t="n">
        <v>94</v>
      </c>
      <c r="B115" s="14">
        <f>EDATE($B$8,93)</f>
        <v/>
      </c>
      <c r="C115" s="15">
        <f>I114</f>
        <v/>
      </c>
      <c r="D115" s="15">
        <f>IF(C115&lt;=0,0,MIN($B$12,C115+E115))</f>
        <v/>
      </c>
      <c r="E115" s="15">
        <f>ROUND(C115*M115/1200,0)</f>
        <v/>
      </c>
      <c r="F115" s="15">
        <f>D115-E115</f>
        <v/>
      </c>
      <c r="G115" s="15">
        <f>IF(C115&lt;=0,0,MIN($B$9,C115-F115))</f>
        <v/>
      </c>
      <c r="H115" s="16" t="n"/>
      <c r="I115" s="15">
        <f>MAX(0,C115-F115-G115-MIN(N(H115),MAX(0,C115-F115-G115)))</f>
        <v/>
      </c>
      <c r="J115" s="17">
        <f>L114</f>
        <v/>
      </c>
      <c r="K115" s="17">
        <f>ROUND(J115*M115/1200,0)</f>
        <v/>
      </c>
      <c r="L115" s="17">
        <f>MAX(0,J115-(MIN($B$12,J115+K115)-K115))</f>
        <v/>
      </c>
      <c r="M115" s="18">
        <f>M114</f>
        <v/>
      </c>
    </row>
    <row r="116">
      <c r="A116" t="n">
        <v>95</v>
      </c>
      <c r="B116" s="14">
        <f>EDATE($B$8,94)</f>
        <v/>
      </c>
      <c r="C116" s="15">
        <f>I115</f>
        <v/>
      </c>
      <c r="D116" s="15">
        <f>IF(C116&lt;=0,0,MIN($B$12,C116+E116))</f>
        <v/>
      </c>
      <c r="E116" s="15">
        <f>ROUND(C116*M116/1200,0)</f>
        <v/>
      </c>
      <c r="F116" s="15">
        <f>D116-E116</f>
        <v/>
      </c>
      <c r="G116" s="15">
        <f>IF(C116&lt;=0,0,MIN($B$9,C116-F116))</f>
        <v/>
      </c>
      <c r="H116" s="16" t="n"/>
      <c r="I116" s="15">
        <f>MAX(0,C116-F116-G116-MIN(N(H116),MAX(0,C116-F116-G116)))</f>
        <v/>
      </c>
      <c r="J116" s="17">
        <f>L115</f>
        <v/>
      </c>
      <c r="K116" s="17">
        <f>ROUND(J116*M116/1200,0)</f>
        <v/>
      </c>
      <c r="L116" s="17">
        <f>MAX(0,J116-(MIN($B$12,J116+K116)-K116))</f>
        <v/>
      </c>
      <c r="M116" s="18">
        <f>M115</f>
        <v/>
      </c>
    </row>
    <row r="117">
      <c r="A117" t="n">
        <v>96</v>
      </c>
      <c r="B117" s="14">
        <f>EDATE($B$8,95)</f>
        <v/>
      </c>
      <c r="C117" s="15">
        <f>I116</f>
        <v/>
      </c>
      <c r="D117" s="15">
        <f>IF(C117&lt;=0,0,MIN($B$12,C117+E117))</f>
        <v/>
      </c>
      <c r="E117" s="15">
        <f>ROUND(C117*M117/1200,0)</f>
        <v/>
      </c>
      <c r="F117" s="15">
        <f>D117-E117</f>
        <v/>
      </c>
      <c r="G117" s="15">
        <f>IF(C117&lt;=0,0,MIN($B$9,C117-F117))</f>
        <v/>
      </c>
      <c r="H117" s="16" t="n"/>
      <c r="I117" s="15">
        <f>MAX(0,C117-F117-G117-MIN(N(H117),MAX(0,C117-F117-G117)))</f>
        <v/>
      </c>
      <c r="J117" s="17">
        <f>L116</f>
        <v/>
      </c>
      <c r="K117" s="17">
        <f>ROUND(J117*M117/1200,0)</f>
        <v/>
      </c>
      <c r="L117" s="17">
        <f>MAX(0,J117-(MIN($B$12,J117+K117)-K117))</f>
        <v/>
      </c>
      <c r="M117" s="18">
        <f>M116</f>
        <v/>
      </c>
    </row>
    <row r="118">
      <c r="A118" t="n">
        <v>97</v>
      </c>
      <c r="B118" s="14">
        <f>EDATE($B$8,96)</f>
        <v/>
      </c>
      <c r="C118" s="15">
        <f>I117</f>
        <v/>
      </c>
      <c r="D118" s="15">
        <f>IF(C118&lt;=0,0,MIN($B$12,C118+E118))</f>
        <v/>
      </c>
      <c r="E118" s="15">
        <f>ROUND(C118*M118/1200,0)</f>
        <v/>
      </c>
      <c r="F118" s="15">
        <f>D118-E118</f>
        <v/>
      </c>
      <c r="G118" s="15">
        <f>IF(C118&lt;=0,0,MIN($B$9,C118-F118))</f>
        <v/>
      </c>
      <c r="H118" s="16" t="n"/>
      <c r="I118" s="15">
        <f>MAX(0,C118-F118-G118-MIN(N(H118),MAX(0,C118-F118-G118)))</f>
        <v/>
      </c>
      <c r="J118" s="17">
        <f>L117</f>
        <v/>
      </c>
      <c r="K118" s="17">
        <f>ROUND(J118*M118/1200,0)</f>
        <v/>
      </c>
      <c r="L118" s="17">
        <f>MAX(0,J118-(MIN($B$12,J118+K118)-K118))</f>
        <v/>
      </c>
      <c r="M118" s="18">
        <f>M117</f>
        <v/>
      </c>
    </row>
    <row r="119">
      <c r="A119" t="n">
        <v>98</v>
      </c>
      <c r="B119" s="14">
        <f>EDATE($B$8,97)</f>
        <v/>
      </c>
      <c r="C119" s="15">
        <f>I118</f>
        <v/>
      </c>
      <c r="D119" s="15">
        <f>IF(C119&lt;=0,0,MIN($B$12,C119+E119))</f>
        <v/>
      </c>
      <c r="E119" s="15">
        <f>ROUND(C119*M119/1200,0)</f>
        <v/>
      </c>
      <c r="F119" s="15">
        <f>D119-E119</f>
        <v/>
      </c>
      <c r="G119" s="15">
        <f>IF(C119&lt;=0,0,MIN($B$9,C119-F119))</f>
        <v/>
      </c>
      <c r="H119" s="16" t="n"/>
      <c r="I119" s="15">
        <f>MAX(0,C119-F119-G119-MIN(N(H119),MAX(0,C119-F119-G119)))</f>
        <v/>
      </c>
      <c r="J119" s="17">
        <f>L118</f>
        <v/>
      </c>
      <c r="K119" s="17">
        <f>ROUND(J119*M119/1200,0)</f>
        <v/>
      </c>
      <c r="L119" s="17">
        <f>MAX(0,J119-(MIN($B$12,J119+K119)-K119))</f>
        <v/>
      </c>
      <c r="M119" s="18">
        <f>M118</f>
        <v/>
      </c>
    </row>
    <row r="120">
      <c r="A120" t="n">
        <v>99</v>
      </c>
      <c r="B120" s="14">
        <f>EDATE($B$8,98)</f>
        <v/>
      </c>
      <c r="C120" s="15">
        <f>I119</f>
        <v/>
      </c>
      <c r="D120" s="15">
        <f>IF(C120&lt;=0,0,MIN($B$12,C120+E120))</f>
        <v/>
      </c>
      <c r="E120" s="15">
        <f>ROUND(C120*M120/1200,0)</f>
        <v/>
      </c>
      <c r="F120" s="15">
        <f>D120-E120</f>
        <v/>
      </c>
      <c r="G120" s="15">
        <f>IF(C120&lt;=0,0,MIN($B$9,C120-F120))</f>
        <v/>
      </c>
      <c r="H120" s="16" t="n"/>
      <c r="I120" s="15">
        <f>MAX(0,C120-F120-G120-MIN(N(H120),MAX(0,C120-F120-G120)))</f>
        <v/>
      </c>
      <c r="J120" s="17">
        <f>L119</f>
        <v/>
      </c>
      <c r="K120" s="17">
        <f>ROUND(J120*M120/1200,0)</f>
        <v/>
      </c>
      <c r="L120" s="17">
        <f>MAX(0,J120-(MIN($B$12,J120+K120)-K120))</f>
        <v/>
      </c>
      <c r="M120" s="18">
        <f>M119</f>
        <v/>
      </c>
    </row>
    <row r="121">
      <c r="A121" t="n">
        <v>100</v>
      </c>
      <c r="B121" s="14">
        <f>EDATE($B$8,99)</f>
        <v/>
      </c>
      <c r="C121" s="15">
        <f>I120</f>
        <v/>
      </c>
      <c r="D121" s="15">
        <f>IF(C121&lt;=0,0,MIN($B$12,C121+E121))</f>
        <v/>
      </c>
      <c r="E121" s="15">
        <f>ROUND(C121*M121/1200,0)</f>
        <v/>
      </c>
      <c r="F121" s="15">
        <f>D121-E121</f>
        <v/>
      </c>
      <c r="G121" s="15">
        <f>IF(C121&lt;=0,0,MIN($B$9,C121-F121))</f>
        <v/>
      </c>
      <c r="H121" s="16" t="n"/>
      <c r="I121" s="15">
        <f>MAX(0,C121-F121-G121-MIN(N(H121),MAX(0,C121-F121-G121)))</f>
        <v/>
      </c>
      <c r="J121" s="17">
        <f>L120</f>
        <v/>
      </c>
      <c r="K121" s="17">
        <f>ROUND(J121*M121/1200,0)</f>
        <v/>
      </c>
      <c r="L121" s="17">
        <f>MAX(0,J121-(MIN($B$12,J121+K121)-K121))</f>
        <v/>
      </c>
      <c r="M121" s="18">
        <f>M120</f>
        <v/>
      </c>
    </row>
    <row r="122">
      <c r="A122" t="n">
        <v>101</v>
      </c>
      <c r="B122" s="14">
        <f>EDATE($B$8,100)</f>
        <v/>
      </c>
      <c r="C122" s="15">
        <f>I121</f>
        <v/>
      </c>
      <c r="D122" s="15">
        <f>IF(C122&lt;=0,0,MIN($B$12,C122+E122))</f>
        <v/>
      </c>
      <c r="E122" s="15">
        <f>ROUND(C122*M122/1200,0)</f>
        <v/>
      </c>
      <c r="F122" s="15">
        <f>D122-E122</f>
        <v/>
      </c>
      <c r="G122" s="15">
        <f>IF(C122&lt;=0,0,MIN($B$9,C122-F122))</f>
        <v/>
      </c>
      <c r="H122" s="16" t="n"/>
      <c r="I122" s="15">
        <f>MAX(0,C122-F122-G122-MIN(N(H122),MAX(0,C122-F122-G122)))</f>
        <v/>
      </c>
      <c r="J122" s="17">
        <f>L121</f>
        <v/>
      </c>
      <c r="K122" s="17">
        <f>ROUND(J122*M122/1200,0)</f>
        <v/>
      </c>
      <c r="L122" s="17">
        <f>MAX(0,J122-(MIN($B$12,J122+K122)-K122))</f>
        <v/>
      </c>
      <c r="M122" s="18">
        <f>M121</f>
        <v/>
      </c>
    </row>
    <row r="123">
      <c r="A123" t="n">
        <v>102</v>
      </c>
      <c r="B123" s="14">
        <f>EDATE($B$8,101)</f>
        <v/>
      </c>
      <c r="C123" s="15">
        <f>I122</f>
        <v/>
      </c>
      <c r="D123" s="15">
        <f>IF(C123&lt;=0,0,MIN($B$12,C123+E123))</f>
        <v/>
      </c>
      <c r="E123" s="15">
        <f>ROUND(C123*M123/1200,0)</f>
        <v/>
      </c>
      <c r="F123" s="15">
        <f>D123-E123</f>
        <v/>
      </c>
      <c r="G123" s="15">
        <f>IF(C123&lt;=0,0,MIN($B$9,C123-F123))</f>
        <v/>
      </c>
      <c r="H123" s="16" t="n"/>
      <c r="I123" s="15">
        <f>MAX(0,C123-F123-G123-MIN(N(H123),MAX(0,C123-F123-G123)))</f>
        <v/>
      </c>
      <c r="J123" s="17">
        <f>L122</f>
        <v/>
      </c>
      <c r="K123" s="17">
        <f>ROUND(J123*M123/1200,0)</f>
        <v/>
      </c>
      <c r="L123" s="17">
        <f>MAX(0,J123-(MIN($B$12,J123+K123)-K123))</f>
        <v/>
      </c>
      <c r="M123" s="18">
        <f>M122</f>
        <v/>
      </c>
    </row>
    <row r="124">
      <c r="A124" t="n">
        <v>103</v>
      </c>
      <c r="B124" s="14">
        <f>EDATE($B$8,102)</f>
        <v/>
      </c>
      <c r="C124" s="15">
        <f>I123</f>
        <v/>
      </c>
      <c r="D124" s="15">
        <f>IF(C124&lt;=0,0,MIN($B$12,C124+E124))</f>
        <v/>
      </c>
      <c r="E124" s="15">
        <f>ROUND(C124*M124/1200,0)</f>
        <v/>
      </c>
      <c r="F124" s="15">
        <f>D124-E124</f>
        <v/>
      </c>
      <c r="G124" s="15">
        <f>IF(C124&lt;=0,0,MIN($B$9,C124-F124))</f>
        <v/>
      </c>
      <c r="H124" s="16" t="n"/>
      <c r="I124" s="15">
        <f>MAX(0,C124-F124-G124-MIN(N(H124),MAX(0,C124-F124-G124)))</f>
        <v/>
      </c>
      <c r="J124" s="17">
        <f>L123</f>
        <v/>
      </c>
      <c r="K124" s="17">
        <f>ROUND(J124*M124/1200,0)</f>
        <v/>
      </c>
      <c r="L124" s="17">
        <f>MAX(0,J124-(MIN($B$12,J124+K124)-K124))</f>
        <v/>
      </c>
      <c r="M124" s="18">
        <f>M123</f>
        <v/>
      </c>
    </row>
    <row r="125">
      <c r="A125" t="n">
        <v>104</v>
      </c>
      <c r="B125" s="14">
        <f>EDATE($B$8,103)</f>
        <v/>
      </c>
      <c r="C125" s="15">
        <f>I124</f>
        <v/>
      </c>
      <c r="D125" s="15">
        <f>IF(C125&lt;=0,0,MIN($B$12,C125+E125))</f>
        <v/>
      </c>
      <c r="E125" s="15">
        <f>ROUND(C125*M125/1200,0)</f>
        <v/>
      </c>
      <c r="F125" s="15">
        <f>D125-E125</f>
        <v/>
      </c>
      <c r="G125" s="15">
        <f>IF(C125&lt;=0,0,MIN($B$9,C125-F125))</f>
        <v/>
      </c>
      <c r="H125" s="16" t="n"/>
      <c r="I125" s="15">
        <f>MAX(0,C125-F125-G125-MIN(N(H125),MAX(0,C125-F125-G125)))</f>
        <v/>
      </c>
      <c r="J125" s="17">
        <f>L124</f>
        <v/>
      </c>
      <c r="K125" s="17">
        <f>ROUND(J125*M125/1200,0)</f>
        <v/>
      </c>
      <c r="L125" s="17">
        <f>MAX(0,J125-(MIN($B$12,J125+K125)-K125))</f>
        <v/>
      </c>
      <c r="M125" s="18">
        <f>M124</f>
        <v/>
      </c>
    </row>
    <row r="126">
      <c r="A126" t="n">
        <v>105</v>
      </c>
      <c r="B126" s="14">
        <f>EDATE($B$8,104)</f>
        <v/>
      </c>
      <c r="C126" s="15">
        <f>I125</f>
        <v/>
      </c>
      <c r="D126" s="15">
        <f>IF(C126&lt;=0,0,MIN($B$12,C126+E126))</f>
        <v/>
      </c>
      <c r="E126" s="15">
        <f>ROUND(C126*M126/1200,0)</f>
        <v/>
      </c>
      <c r="F126" s="15">
        <f>D126-E126</f>
        <v/>
      </c>
      <c r="G126" s="15">
        <f>IF(C126&lt;=0,0,MIN($B$9,C126-F126))</f>
        <v/>
      </c>
      <c r="H126" s="16" t="n"/>
      <c r="I126" s="15">
        <f>MAX(0,C126-F126-G126-MIN(N(H126),MAX(0,C126-F126-G126)))</f>
        <v/>
      </c>
      <c r="J126" s="17">
        <f>L125</f>
        <v/>
      </c>
      <c r="K126" s="17">
        <f>ROUND(J126*M126/1200,0)</f>
        <v/>
      </c>
      <c r="L126" s="17">
        <f>MAX(0,J126-(MIN($B$12,J126+K126)-K126))</f>
        <v/>
      </c>
      <c r="M126" s="18">
        <f>M125</f>
        <v/>
      </c>
    </row>
    <row r="127">
      <c r="A127" t="n">
        <v>106</v>
      </c>
      <c r="B127" s="14">
        <f>EDATE($B$8,105)</f>
        <v/>
      </c>
      <c r="C127" s="15">
        <f>I126</f>
        <v/>
      </c>
      <c r="D127" s="15">
        <f>IF(C127&lt;=0,0,MIN($B$12,C127+E127))</f>
        <v/>
      </c>
      <c r="E127" s="15">
        <f>ROUND(C127*M127/1200,0)</f>
        <v/>
      </c>
      <c r="F127" s="15">
        <f>D127-E127</f>
        <v/>
      </c>
      <c r="G127" s="15">
        <f>IF(C127&lt;=0,0,MIN($B$9,C127-F127))</f>
        <v/>
      </c>
      <c r="H127" s="16" t="n"/>
      <c r="I127" s="15">
        <f>MAX(0,C127-F127-G127-MIN(N(H127),MAX(0,C127-F127-G127)))</f>
        <v/>
      </c>
      <c r="J127" s="17">
        <f>L126</f>
        <v/>
      </c>
      <c r="K127" s="17">
        <f>ROUND(J127*M127/1200,0)</f>
        <v/>
      </c>
      <c r="L127" s="17">
        <f>MAX(0,J127-(MIN($B$12,J127+K127)-K127))</f>
        <v/>
      </c>
      <c r="M127" s="18">
        <f>M126</f>
        <v/>
      </c>
    </row>
    <row r="128">
      <c r="A128" t="n">
        <v>107</v>
      </c>
      <c r="B128" s="14">
        <f>EDATE($B$8,106)</f>
        <v/>
      </c>
      <c r="C128" s="15">
        <f>I127</f>
        <v/>
      </c>
      <c r="D128" s="15">
        <f>IF(C128&lt;=0,0,MIN($B$12,C128+E128))</f>
        <v/>
      </c>
      <c r="E128" s="15">
        <f>ROUND(C128*M128/1200,0)</f>
        <v/>
      </c>
      <c r="F128" s="15">
        <f>D128-E128</f>
        <v/>
      </c>
      <c r="G128" s="15">
        <f>IF(C128&lt;=0,0,MIN($B$9,C128-F128))</f>
        <v/>
      </c>
      <c r="H128" s="16" t="n"/>
      <c r="I128" s="15">
        <f>MAX(0,C128-F128-G128-MIN(N(H128),MAX(0,C128-F128-G128)))</f>
        <v/>
      </c>
      <c r="J128" s="17">
        <f>L127</f>
        <v/>
      </c>
      <c r="K128" s="17">
        <f>ROUND(J128*M128/1200,0)</f>
        <v/>
      </c>
      <c r="L128" s="17">
        <f>MAX(0,J128-(MIN($B$12,J128+K128)-K128))</f>
        <v/>
      </c>
      <c r="M128" s="18">
        <f>M127</f>
        <v/>
      </c>
    </row>
    <row r="129">
      <c r="A129" t="n">
        <v>108</v>
      </c>
      <c r="B129" s="14">
        <f>EDATE($B$8,107)</f>
        <v/>
      </c>
      <c r="C129" s="15">
        <f>I128</f>
        <v/>
      </c>
      <c r="D129" s="15">
        <f>IF(C129&lt;=0,0,MIN($B$12,C129+E129))</f>
        <v/>
      </c>
      <c r="E129" s="15">
        <f>ROUND(C129*M129/1200,0)</f>
        <v/>
      </c>
      <c r="F129" s="15">
        <f>D129-E129</f>
        <v/>
      </c>
      <c r="G129" s="15">
        <f>IF(C129&lt;=0,0,MIN($B$9,C129-F129))</f>
        <v/>
      </c>
      <c r="H129" s="16" t="n"/>
      <c r="I129" s="15">
        <f>MAX(0,C129-F129-G129-MIN(N(H129),MAX(0,C129-F129-G129)))</f>
        <v/>
      </c>
      <c r="J129" s="17">
        <f>L128</f>
        <v/>
      </c>
      <c r="K129" s="17">
        <f>ROUND(J129*M129/1200,0)</f>
        <v/>
      </c>
      <c r="L129" s="17">
        <f>MAX(0,J129-(MIN($B$12,J129+K129)-K129))</f>
        <v/>
      </c>
      <c r="M129" s="18">
        <f>M128</f>
        <v/>
      </c>
    </row>
    <row r="130">
      <c r="A130" t="n">
        <v>109</v>
      </c>
      <c r="B130" s="14">
        <f>EDATE($B$8,108)</f>
        <v/>
      </c>
      <c r="C130" s="15">
        <f>I129</f>
        <v/>
      </c>
      <c r="D130" s="15">
        <f>IF(C130&lt;=0,0,MIN($B$12,C130+E130))</f>
        <v/>
      </c>
      <c r="E130" s="15">
        <f>ROUND(C130*M130/1200,0)</f>
        <v/>
      </c>
      <c r="F130" s="15">
        <f>D130-E130</f>
        <v/>
      </c>
      <c r="G130" s="15">
        <f>IF(C130&lt;=0,0,MIN($B$9,C130-F130))</f>
        <v/>
      </c>
      <c r="H130" s="16" t="n"/>
      <c r="I130" s="15">
        <f>MAX(0,C130-F130-G130-MIN(N(H130),MAX(0,C130-F130-G130)))</f>
        <v/>
      </c>
      <c r="J130" s="17">
        <f>L129</f>
        <v/>
      </c>
      <c r="K130" s="17">
        <f>ROUND(J130*M130/1200,0)</f>
        <v/>
      </c>
      <c r="L130" s="17">
        <f>MAX(0,J130-(MIN($B$12,J130+K130)-K130))</f>
        <v/>
      </c>
      <c r="M130" s="18">
        <f>M129</f>
        <v/>
      </c>
    </row>
    <row r="131">
      <c r="A131" t="n">
        <v>110</v>
      </c>
      <c r="B131" s="14">
        <f>EDATE($B$8,109)</f>
        <v/>
      </c>
      <c r="C131" s="15">
        <f>I130</f>
        <v/>
      </c>
      <c r="D131" s="15">
        <f>IF(C131&lt;=0,0,MIN($B$12,C131+E131))</f>
        <v/>
      </c>
      <c r="E131" s="15">
        <f>ROUND(C131*M131/1200,0)</f>
        <v/>
      </c>
      <c r="F131" s="15">
        <f>D131-E131</f>
        <v/>
      </c>
      <c r="G131" s="15">
        <f>IF(C131&lt;=0,0,MIN($B$9,C131-F131))</f>
        <v/>
      </c>
      <c r="H131" s="16" t="n"/>
      <c r="I131" s="15">
        <f>MAX(0,C131-F131-G131-MIN(N(H131),MAX(0,C131-F131-G131)))</f>
        <v/>
      </c>
      <c r="J131" s="17">
        <f>L130</f>
        <v/>
      </c>
      <c r="K131" s="17">
        <f>ROUND(J131*M131/1200,0)</f>
        <v/>
      </c>
      <c r="L131" s="17">
        <f>MAX(0,J131-(MIN($B$12,J131+K131)-K131))</f>
        <v/>
      </c>
      <c r="M131" s="18">
        <f>M130</f>
        <v/>
      </c>
    </row>
    <row r="132">
      <c r="A132" t="n">
        <v>111</v>
      </c>
      <c r="B132" s="14">
        <f>EDATE($B$8,110)</f>
        <v/>
      </c>
      <c r="C132" s="15">
        <f>I131</f>
        <v/>
      </c>
      <c r="D132" s="15">
        <f>IF(C132&lt;=0,0,MIN($B$12,C132+E132))</f>
        <v/>
      </c>
      <c r="E132" s="15">
        <f>ROUND(C132*M132/1200,0)</f>
        <v/>
      </c>
      <c r="F132" s="15">
        <f>D132-E132</f>
        <v/>
      </c>
      <c r="G132" s="15">
        <f>IF(C132&lt;=0,0,MIN($B$9,C132-F132))</f>
        <v/>
      </c>
      <c r="H132" s="16" t="n"/>
      <c r="I132" s="15">
        <f>MAX(0,C132-F132-G132-MIN(N(H132),MAX(0,C132-F132-G132)))</f>
        <v/>
      </c>
      <c r="J132" s="17">
        <f>L131</f>
        <v/>
      </c>
      <c r="K132" s="17">
        <f>ROUND(J132*M132/1200,0)</f>
        <v/>
      </c>
      <c r="L132" s="17">
        <f>MAX(0,J132-(MIN($B$12,J132+K132)-K132))</f>
        <v/>
      </c>
      <c r="M132" s="18">
        <f>M131</f>
        <v/>
      </c>
    </row>
    <row r="133">
      <c r="A133" t="n">
        <v>112</v>
      </c>
      <c r="B133" s="14">
        <f>EDATE($B$8,111)</f>
        <v/>
      </c>
      <c r="C133" s="15">
        <f>I132</f>
        <v/>
      </c>
      <c r="D133" s="15">
        <f>IF(C133&lt;=0,0,MIN($B$12,C133+E133))</f>
        <v/>
      </c>
      <c r="E133" s="15">
        <f>ROUND(C133*M133/1200,0)</f>
        <v/>
      </c>
      <c r="F133" s="15">
        <f>D133-E133</f>
        <v/>
      </c>
      <c r="G133" s="15">
        <f>IF(C133&lt;=0,0,MIN($B$9,C133-F133))</f>
        <v/>
      </c>
      <c r="H133" s="16" t="n"/>
      <c r="I133" s="15">
        <f>MAX(0,C133-F133-G133-MIN(N(H133),MAX(0,C133-F133-G133)))</f>
        <v/>
      </c>
      <c r="J133" s="17">
        <f>L132</f>
        <v/>
      </c>
      <c r="K133" s="17">
        <f>ROUND(J133*M133/1200,0)</f>
        <v/>
      </c>
      <c r="L133" s="17">
        <f>MAX(0,J133-(MIN($B$12,J133+K133)-K133))</f>
        <v/>
      </c>
      <c r="M133" s="18">
        <f>M132</f>
        <v/>
      </c>
    </row>
    <row r="134">
      <c r="A134" t="n">
        <v>113</v>
      </c>
      <c r="B134" s="14">
        <f>EDATE($B$8,112)</f>
        <v/>
      </c>
      <c r="C134" s="15">
        <f>I133</f>
        <v/>
      </c>
      <c r="D134" s="15">
        <f>IF(C134&lt;=0,0,MIN($B$12,C134+E134))</f>
        <v/>
      </c>
      <c r="E134" s="15">
        <f>ROUND(C134*M134/1200,0)</f>
        <v/>
      </c>
      <c r="F134" s="15">
        <f>D134-E134</f>
        <v/>
      </c>
      <c r="G134" s="15">
        <f>IF(C134&lt;=0,0,MIN($B$9,C134-F134))</f>
        <v/>
      </c>
      <c r="H134" s="16" t="n"/>
      <c r="I134" s="15">
        <f>MAX(0,C134-F134-G134-MIN(N(H134),MAX(0,C134-F134-G134)))</f>
        <v/>
      </c>
      <c r="J134" s="17">
        <f>L133</f>
        <v/>
      </c>
      <c r="K134" s="17">
        <f>ROUND(J134*M134/1200,0)</f>
        <v/>
      </c>
      <c r="L134" s="17">
        <f>MAX(0,J134-(MIN($B$12,J134+K134)-K134))</f>
        <v/>
      </c>
      <c r="M134" s="18">
        <f>M133</f>
        <v/>
      </c>
    </row>
    <row r="135">
      <c r="A135" t="n">
        <v>114</v>
      </c>
      <c r="B135" s="14">
        <f>EDATE($B$8,113)</f>
        <v/>
      </c>
      <c r="C135" s="15">
        <f>I134</f>
        <v/>
      </c>
      <c r="D135" s="15">
        <f>IF(C135&lt;=0,0,MIN($B$12,C135+E135))</f>
        <v/>
      </c>
      <c r="E135" s="15">
        <f>ROUND(C135*M135/1200,0)</f>
        <v/>
      </c>
      <c r="F135" s="15">
        <f>D135-E135</f>
        <v/>
      </c>
      <c r="G135" s="15">
        <f>IF(C135&lt;=0,0,MIN($B$9,C135-F135))</f>
        <v/>
      </c>
      <c r="H135" s="16" t="n"/>
      <c r="I135" s="15">
        <f>MAX(0,C135-F135-G135-MIN(N(H135),MAX(0,C135-F135-G135)))</f>
        <v/>
      </c>
      <c r="J135" s="17">
        <f>L134</f>
        <v/>
      </c>
      <c r="K135" s="17">
        <f>ROUND(J135*M135/1200,0)</f>
        <v/>
      </c>
      <c r="L135" s="17">
        <f>MAX(0,J135-(MIN($B$12,J135+K135)-K135))</f>
        <v/>
      </c>
      <c r="M135" s="18">
        <f>M134</f>
        <v/>
      </c>
    </row>
    <row r="136">
      <c r="A136" t="n">
        <v>115</v>
      </c>
      <c r="B136" s="14">
        <f>EDATE($B$8,114)</f>
        <v/>
      </c>
      <c r="C136" s="15">
        <f>I135</f>
        <v/>
      </c>
      <c r="D136" s="15">
        <f>IF(C136&lt;=0,0,MIN($B$12,C136+E136))</f>
        <v/>
      </c>
      <c r="E136" s="15">
        <f>ROUND(C136*M136/1200,0)</f>
        <v/>
      </c>
      <c r="F136" s="15">
        <f>D136-E136</f>
        <v/>
      </c>
      <c r="G136" s="15">
        <f>IF(C136&lt;=0,0,MIN($B$9,C136-F136))</f>
        <v/>
      </c>
      <c r="H136" s="16" t="n"/>
      <c r="I136" s="15">
        <f>MAX(0,C136-F136-G136-MIN(N(H136),MAX(0,C136-F136-G136)))</f>
        <v/>
      </c>
      <c r="J136" s="17">
        <f>L135</f>
        <v/>
      </c>
      <c r="K136" s="17">
        <f>ROUND(J136*M136/1200,0)</f>
        <v/>
      </c>
      <c r="L136" s="17">
        <f>MAX(0,J136-(MIN($B$12,J136+K136)-K136))</f>
        <v/>
      </c>
      <c r="M136" s="18">
        <f>M135</f>
        <v/>
      </c>
    </row>
    <row r="137">
      <c r="A137" t="n">
        <v>116</v>
      </c>
      <c r="B137" s="14">
        <f>EDATE($B$8,115)</f>
        <v/>
      </c>
      <c r="C137" s="15">
        <f>I136</f>
        <v/>
      </c>
      <c r="D137" s="15">
        <f>IF(C137&lt;=0,0,MIN($B$12,C137+E137))</f>
        <v/>
      </c>
      <c r="E137" s="15">
        <f>ROUND(C137*M137/1200,0)</f>
        <v/>
      </c>
      <c r="F137" s="15">
        <f>D137-E137</f>
        <v/>
      </c>
      <c r="G137" s="15">
        <f>IF(C137&lt;=0,0,MIN($B$9,C137-F137))</f>
        <v/>
      </c>
      <c r="H137" s="16" t="n"/>
      <c r="I137" s="15">
        <f>MAX(0,C137-F137-G137-MIN(N(H137),MAX(0,C137-F137-G137)))</f>
        <v/>
      </c>
      <c r="J137" s="17">
        <f>L136</f>
        <v/>
      </c>
      <c r="K137" s="17">
        <f>ROUND(J137*M137/1200,0)</f>
        <v/>
      </c>
      <c r="L137" s="17">
        <f>MAX(0,J137-(MIN($B$12,J137+K137)-K137))</f>
        <v/>
      </c>
      <c r="M137" s="18">
        <f>M136</f>
        <v/>
      </c>
    </row>
    <row r="138">
      <c r="A138" t="n">
        <v>117</v>
      </c>
      <c r="B138" s="14">
        <f>EDATE($B$8,116)</f>
        <v/>
      </c>
      <c r="C138" s="15">
        <f>I137</f>
        <v/>
      </c>
      <c r="D138" s="15">
        <f>IF(C138&lt;=0,0,MIN($B$12,C138+E138))</f>
        <v/>
      </c>
      <c r="E138" s="15">
        <f>ROUND(C138*M138/1200,0)</f>
        <v/>
      </c>
      <c r="F138" s="15">
        <f>D138-E138</f>
        <v/>
      </c>
      <c r="G138" s="15">
        <f>IF(C138&lt;=0,0,MIN($B$9,C138-F138))</f>
        <v/>
      </c>
      <c r="H138" s="16" t="n"/>
      <c r="I138" s="15">
        <f>MAX(0,C138-F138-G138-MIN(N(H138),MAX(0,C138-F138-G138)))</f>
        <v/>
      </c>
      <c r="J138" s="17">
        <f>L137</f>
        <v/>
      </c>
      <c r="K138" s="17">
        <f>ROUND(J138*M138/1200,0)</f>
        <v/>
      </c>
      <c r="L138" s="17">
        <f>MAX(0,J138-(MIN($B$12,J138+K138)-K138))</f>
        <v/>
      </c>
      <c r="M138" s="18">
        <f>M137</f>
        <v/>
      </c>
    </row>
    <row r="139">
      <c r="A139" t="n">
        <v>118</v>
      </c>
      <c r="B139" s="14">
        <f>EDATE($B$8,117)</f>
        <v/>
      </c>
      <c r="C139" s="15">
        <f>I138</f>
        <v/>
      </c>
      <c r="D139" s="15">
        <f>IF(C139&lt;=0,0,MIN($B$12,C139+E139))</f>
        <v/>
      </c>
      <c r="E139" s="15">
        <f>ROUND(C139*M139/1200,0)</f>
        <v/>
      </c>
      <c r="F139" s="15">
        <f>D139-E139</f>
        <v/>
      </c>
      <c r="G139" s="15">
        <f>IF(C139&lt;=0,0,MIN($B$9,C139-F139))</f>
        <v/>
      </c>
      <c r="H139" s="16" t="n"/>
      <c r="I139" s="15">
        <f>MAX(0,C139-F139-G139-MIN(N(H139),MAX(0,C139-F139-G139)))</f>
        <v/>
      </c>
      <c r="J139" s="17">
        <f>L138</f>
        <v/>
      </c>
      <c r="K139" s="17">
        <f>ROUND(J139*M139/1200,0)</f>
        <v/>
      </c>
      <c r="L139" s="17">
        <f>MAX(0,J139-(MIN($B$12,J139+K139)-K139))</f>
        <v/>
      </c>
      <c r="M139" s="18">
        <f>M138</f>
        <v/>
      </c>
    </row>
    <row r="140">
      <c r="A140" t="n">
        <v>119</v>
      </c>
      <c r="B140" s="14">
        <f>EDATE($B$8,118)</f>
        <v/>
      </c>
      <c r="C140" s="15">
        <f>I139</f>
        <v/>
      </c>
      <c r="D140" s="15">
        <f>IF(C140&lt;=0,0,MIN($B$12,C140+E140))</f>
        <v/>
      </c>
      <c r="E140" s="15">
        <f>ROUND(C140*M140/1200,0)</f>
        <v/>
      </c>
      <c r="F140" s="15">
        <f>D140-E140</f>
        <v/>
      </c>
      <c r="G140" s="15">
        <f>IF(C140&lt;=0,0,MIN($B$9,C140-F140))</f>
        <v/>
      </c>
      <c r="H140" s="16" t="n"/>
      <c r="I140" s="15">
        <f>MAX(0,C140-F140-G140-MIN(N(H140),MAX(0,C140-F140-G140)))</f>
        <v/>
      </c>
      <c r="J140" s="17">
        <f>L139</f>
        <v/>
      </c>
      <c r="K140" s="17">
        <f>ROUND(J140*M140/1200,0)</f>
        <v/>
      </c>
      <c r="L140" s="17">
        <f>MAX(0,J140-(MIN($B$12,J140+K140)-K140))</f>
        <v/>
      </c>
      <c r="M140" s="18">
        <f>M139</f>
        <v/>
      </c>
    </row>
    <row r="141">
      <c r="A141" t="n">
        <v>120</v>
      </c>
      <c r="B141" s="14">
        <f>EDATE($B$8,119)</f>
        <v/>
      </c>
      <c r="C141" s="15">
        <f>I140</f>
        <v/>
      </c>
      <c r="D141" s="15">
        <f>IF(C141&lt;=0,0,MIN($B$12,C141+E141))</f>
        <v/>
      </c>
      <c r="E141" s="15">
        <f>ROUND(C141*M141/1200,0)</f>
        <v/>
      </c>
      <c r="F141" s="15">
        <f>D141-E141</f>
        <v/>
      </c>
      <c r="G141" s="15">
        <f>IF(C141&lt;=0,0,MIN($B$9,C141-F141))</f>
        <v/>
      </c>
      <c r="H141" s="16" t="n"/>
      <c r="I141" s="15">
        <f>MAX(0,C141-F141-G141-MIN(N(H141),MAX(0,C141-F141-G141)))</f>
        <v/>
      </c>
      <c r="J141" s="17">
        <f>L140</f>
        <v/>
      </c>
      <c r="K141" s="17">
        <f>ROUND(J141*M141/1200,0)</f>
        <v/>
      </c>
      <c r="L141" s="17">
        <f>MAX(0,J141-(MIN($B$12,J141+K141)-K141))</f>
        <v/>
      </c>
      <c r="M141" s="18">
        <f>M140</f>
        <v/>
      </c>
    </row>
    <row r="142">
      <c r="A142" t="n">
        <v>121</v>
      </c>
      <c r="B142" s="14">
        <f>EDATE($B$8,120)</f>
        <v/>
      </c>
      <c r="C142" s="15">
        <f>I141</f>
        <v/>
      </c>
      <c r="D142" s="15">
        <f>IF(C142&lt;=0,0,MIN($B$12,C142+E142))</f>
        <v/>
      </c>
      <c r="E142" s="15">
        <f>ROUND(C142*M142/1200,0)</f>
        <v/>
      </c>
      <c r="F142" s="15">
        <f>D142-E142</f>
        <v/>
      </c>
      <c r="G142" s="15">
        <f>IF(C142&lt;=0,0,MIN($B$9,C142-F142))</f>
        <v/>
      </c>
      <c r="H142" s="16" t="n"/>
      <c r="I142" s="15">
        <f>MAX(0,C142-F142-G142-MIN(N(H142),MAX(0,C142-F142-G142)))</f>
        <v/>
      </c>
      <c r="J142" s="17">
        <f>L141</f>
        <v/>
      </c>
      <c r="K142" s="17">
        <f>ROUND(J142*M142/1200,0)</f>
        <v/>
      </c>
      <c r="L142" s="17">
        <f>MAX(0,J142-(MIN($B$12,J142+K142)-K142))</f>
        <v/>
      </c>
      <c r="M142" s="18">
        <f>M141</f>
        <v/>
      </c>
    </row>
    <row r="143">
      <c r="A143" t="n">
        <v>122</v>
      </c>
      <c r="B143" s="14">
        <f>EDATE($B$8,121)</f>
        <v/>
      </c>
      <c r="C143" s="15">
        <f>I142</f>
        <v/>
      </c>
      <c r="D143" s="15">
        <f>IF(C143&lt;=0,0,MIN($B$12,C143+E143))</f>
        <v/>
      </c>
      <c r="E143" s="15">
        <f>ROUND(C143*M143/1200,0)</f>
        <v/>
      </c>
      <c r="F143" s="15">
        <f>D143-E143</f>
        <v/>
      </c>
      <c r="G143" s="15">
        <f>IF(C143&lt;=0,0,MIN($B$9,C143-F143))</f>
        <v/>
      </c>
      <c r="H143" s="16" t="n"/>
      <c r="I143" s="15">
        <f>MAX(0,C143-F143-G143-MIN(N(H143),MAX(0,C143-F143-G143)))</f>
        <v/>
      </c>
      <c r="J143" s="17">
        <f>L142</f>
        <v/>
      </c>
      <c r="K143" s="17">
        <f>ROUND(J143*M143/1200,0)</f>
        <v/>
      </c>
      <c r="L143" s="17">
        <f>MAX(0,J143-(MIN($B$12,J143+K143)-K143))</f>
        <v/>
      </c>
      <c r="M143" s="18">
        <f>M142</f>
        <v/>
      </c>
    </row>
    <row r="144">
      <c r="A144" t="n">
        <v>123</v>
      </c>
      <c r="B144" s="14">
        <f>EDATE($B$8,122)</f>
        <v/>
      </c>
      <c r="C144" s="15">
        <f>I143</f>
        <v/>
      </c>
      <c r="D144" s="15">
        <f>IF(C144&lt;=0,0,MIN($B$12,C144+E144))</f>
        <v/>
      </c>
      <c r="E144" s="15">
        <f>ROUND(C144*M144/1200,0)</f>
        <v/>
      </c>
      <c r="F144" s="15">
        <f>D144-E144</f>
        <v/>
      </c>
      <c r="G144" s="15">
        <f>IF(C144&lt;=0,0,MIN($B$9,C144-F144))</f>
        <v/>
      </c>
      <c r="H144" s="16" t="n"/>
      <c r="I144" s="15">
        <f>MAX(0,C144-F144-G144-MIN(N(H144),MAX(0,C144-F144-G144)))</f>
        <v/>
      </c>
      <c r="J144" s="17">
        <f>L143</f>
        <v/>
      </c>
      <c r="K144" s="17">
        <f>ROUND(J144*M144/1200,0)</f>
        <v/>
      </c>
      <c r="L144" s="17">
        <f>MAX(0,J144-(MIN($B$12,J144+K144)-K144))</f>
        <v/>
      </c>
      <c r="M144" s="18">
        <f>M143</f>
        <v/>
      </c>
    </row>
    <row r="145">
      <c r="A145" t="n">
        <v>124</v>
      </c>
      <c r="B145" s="14">
        <f>EDATE($B$8,123)</f>
        <v/>
      </c>
      <c r="C145" s="15">
        <f>I144</f>
        <v/>
      </c>
      <c r="D145" s="15">
        <f>IF(C145&lt;=0,0,MIN($B$12,C145+E145))</f>
        <v/>
      </c>
      <c r="E145" s="15">
        <f>ROUND(C145*M145/1200,0)</f>
        <v/>
      </c>
      <c r="F145" s="15">
        <f>D145-E145</f>
        <v/>
      </c>
      <c r="G145" s="15">
        <f>IF(C145&lt;=0,0,MIN($B$9,C145-F145))</f>
        <v/>
      </c>
      <c r="H145" s="16" t="n"/>
      <c r="I145" s="15">
        <f>MAX(0,C145-F145-G145-MIN(N(H145),MAX(0,C145-F145-G145)))</f>
        <v/>
      </c>
      <c r="J145" s="17">
        <f>L144</f>
        <v/>
      </c>
      <c r="K145" s="17">
        <f>ROUND(J145*M145/1200,0)</f>
        <v/>
      </c>
      <c r="L145" s="17">
        <f>MAX(0,J145-(MIN($B$12,J145+K145)-K145))</f>
        <v/>
      </c>
      <c r="M145" s="18">
        <f>M144</f>
        <v/>
      </c>
    </row>
    <row r="146">
      <c r="A146" t="n">
        <v>125</v>
      </c>
      <c r="B146" s="14">
        <f>EDATE($B$8,124)</f>
        <v/>
      </c>
      <c r="C146" s="15">
        <f>I145</f>
        <v/>
      </c>
      <c r="D146" s="15">
        <f>IF(C146&lt;=0,0,MIN($B$12,C146+E146))</f>
        <v/>
      </c>
      <c r="E146" s="15">
        <f>ROUND(C146*M146/1200,0)</f>
        <v/>
      </c>
      <c r="F146" s="15">
        <f>D146-E146</f>
        <v/>
      </c>
      <c r="G146" s="15">
        <f>IF(C146&lt;=0,0,MIN($B$9,C146-F146))</f>
        <v/>
      </c>
      <c r="H146" s="16" t="n"/>
      <c r="I146" s="15">
        <f>MAX(0,C146-F146-G146-MIN(N(H146),MAX(0,C146-F146-G146)))</f>
        <v/>
      </c>
      <c r="J146" s="17">
        <f>L145</f>
        <v/>
      </c>
      <c r="K146" s="17">
        <f>ROUND(J146*M146/1200,0)</f>
        <v/>
      </c>
      <c r="L146" s="17">
        <f>MAX(0,J146-(MIN($B$12,J146+K146)-K146))</f>
        <v/>
      </c>
      <c r="M146" s="18">
        <f>M145</f>
        <v/>
      </c>
    </row>
    <row r="147">
      <c r="A147" t="n">
        <v>126</v>
      </c>
      <c r="B147" s="14">
        <f>EDATE($B$8,125)</f>
        <v/>
      </c>
      <c r="C147" s="15">
        <f>I146</f>
        <v/>
      </c>
      <c r="D147" s="15">
        <f>IF(C147&lt;=0,0,MIN($B$12,C147+E147))</f>
        <v/>
      </c>
      <c r="E147" s="15">
        <f>ROUND(C147*M147/1200,0)</f>
        <v/>
      </c>
      <c r="F147" s="15">
        <f>D147-E147</f>
        <v/>
      </c>
      <c r="G147" s="15">
        <f>IF(C147&lt;=0,0,MIN($B$9,C147-F147))</f>
        <v/>
      </c>
      <c r="H147" s="16" t="n"/>
      <c r="I147" s="15">
        <f>MAX(0,C147-F147-G147-MIN(N(H147),MAX(0,C147-F147-G147)))</f>
        <v/>
      </c>
      <c r="J147" s="17">
        <f>L146</f>
        <v/>
      </c>
      <c r="K147" s="17">
        <f>ROUND(J147*M147/1200,0)</f>
        <v/>
      </c>
      <c r="L147" s="17">
        <f>MAX(0,J147-(MIN($B$12,J147+K147)-K147))</f>
        <v/>
      </c>
      <c r="M147" s="18">
        <f>M146</f>
        <v/>
      </c>
    </row>
    <row r="148">
      <c r="A148" t="n">
        <v>127</v>
      </c>
      <c r="B148" s="14">
        <f>EDATE($B$8,126)</f>
        <v/>
      </c>
      <c r="C148" s="15">
        <f>I147</f>
        <v/>
      </c>
      <c r="D148" s="15">
        <f>IF(C148&lt;=0,0,MIN($B$12,C148+E148))</f>
        <v/>
      </c>
      <c r="E148" s="15">
        <f>ROUND(C148*M148/1200,0)</f>
        <v/>
      </c>
      <c r="F148" s="15">
        <f>D148-E148</f>
        <v/>
      </c>
      <c r="G148" s="15">
        <f>IF(C148&lt;=0,0,MIN($B$9,C148-F148))</f>
        <v/>
      </c>
      <c r="H148" s="16" t="n"/>
      <c r="I148" s="15">
        <f>MAX(0,C148-F148-G148-MIN(N(H148),MAX(0,C148-F148-G148)))</f>
        <v/>
      </c>
      <c r="J148" s="17">
        <f>L147</f>
        <v/>
      </c>
      <c r="K148" s="17">
        <f>ROUND(J148*M148/1200,0)</f>
        <v/>
      </c>
      <c r="L148" s="17">
        <f>MAX(0,J148-(MIN($B$12,J148+K148)-K148))</f>
        <v/>
      </c>
      <c r="M148" s="18">
        <f>M147</f>
        <v/>
      </c>
    </row>
    <row r="149">
      <c r="A149" t="n">
        <v>128</v>
      </c>
      <c r="B149" s="14">
        <f>EDATE($B$8,127)</f>
        <v/>
      </c>
      <c r="C149" s="15">
        <f>I148</f>
        <v/>
      </c>
      <c r="D149" s="15">
        <f>IF(C149&lt;=0,0,MIN($B$12,C149+E149))</f>
        <v/>
      </c>
      <c r="E149" s="15">
        <f>ROUND(C149*M149/1200,0)</f>
        <v/>
      </c>
      <c r="F149" s="15">
        <f>D149-E149</f>
        <v/>
      </c>
      <c r="G149" s="15">
        <f>IF(C149&lt;=0,0,MIN($B$9,C149-F149))</f>
        <v/>
      </c>
      <c r="H149" s="16" t="n"/>
      <c r="I149" s="15">
        <f>MAX(0,C149-F149-G149-MIN(N(H149),MAX(0,C149-F149-G149)))</f>
        <v/>
      </c>
      <c r="J149" s="17">
        <f>L148</f>
        <v/>
      </c>
      <c r="K149" s="17">
        <f>ROUND(J149*M149/1200,0)</f>
        <v/>
      </c>
      <c r="L149" s="17">
        <f>MAX(0,J149-(MIN($B$12,J149+K149)-K149))</f>
        <v/>
      </c>
      <c r="M149" s="18">
        <f>M148</f>
        <v/>
      </c>
    </row>
    <row r="150">
      <c r="A150" t="n">
        <v>129</v>
      </c>
      <c r="B150" s="14">
        <f>EDATE($B$8,128)</f>
        <v/>
      </c>
      <c r="C150" s="15">
        <f>I149</f>
        <v/>
      </c>
      <c r="D150" s="15">
        <f>IF(C150&lt;=0,0,MIN($B$12,C150+E150))</f>
        <v/>
      </c>
      <c r="E150" s="15">
        <f>ROUND(C150*M150/1200,0)</f>
        <v/>
      </c>
      <c r="F150" s="15">
        <f>D150-E150</f>
        <v/>
      </c>
      <c r="G150" s="15">
        <f>IF(C150&lt;=0,0,MIN($B$9,C150-F150))</f>
        <v/>
      </c>
      <c r="H150" s="16" t="n"/>
      <c r="I150" s="15">
        <f>MAX(0,C150-F150-G150-MIN(N(H150),MAX(0,C150-F150-G150)))</f>
        <v/>
      </c>
      <c r="J150" s="17">
        <f>L149</f>
        <v/>
      </c>
      <c r="K150" s="17">
        <f>ROUND(J150*M150/1200,0)</f>
        <v/>
      </c>
      <c r="L150" s="17">
        <f>MAX(0,J150-(MIN($B$12,J150+K150)-K150))</f>
        <v/>
      </c>
      <c r="M150" s="18">
        <f>M149</f>
        <v/>
      </c>
    </row>
    <row r="151">
      <c r="A151" t="n">
        <v>130</v>
      </c>
      <c r="B151" s="14">
        <f>EDATE($B$8,129)</f>
        <v/>
      </c>
      <c r="C151" s="15">
        <f>I150</f>
        <v/>
      </c>
      <c r="D151" s="15">
        <f>IF(C151&lt;=0,0,MIN($B$12,C151+E151))</f>
        <v/>
      </c>
      <c r="E151" s="15">
        <f>ROUND(C151*M151/1200,0)</f>
        <v/>
      </c>
      <c r="F151" s="15">
        <f>D151-E151</f>
        <v/>
      </c>
      <c r="G151" s="15">
        <f>IF(C151&lt;=0,0,MIN($B$9,C151-F151))</f>
        <v/>
      </c>
      <c r="H151" s="16" t="n"/>
      <c r="I151" s="15">
        <f>MAX(0,C151-F151-G151-MIN(N(H151),MAX(0,C151-F151-G151)))</f>
        <v/>
      </c>
      <c r="J151" s="17">
        <f>L150</f>
        <v/>
      </c>
      <c r="K151" s="17">
        <f>ROUND(J151*M151/1200,0)</f>
        <v/>
      </c>
      <c r="L151" s="17">
        <f>MAX(0,J151-(MIN($B$12,J151+K151)-K151))</f>
        <v/>
      </c>
      <c r="M151" s="18">
        <f>M150</f>
        <v/>
      </c>
    </row>
    <row r="152">
      <c r="A152" t="n">
        <v>131</v>
      </c>
      <c r="B152" s="14">
        <f>EDATE($B$8,130)</f>
        <v/>
      </c>
      <c r="C152" s="15">
        <f>I151</f>
        <v/>
      </c>
      <c r="D152" s="15">
        <f>IF(C152&lt;=0,0,MIN($B$12,C152+E152))</f>
        <v/>
      </c>
      <c r="E152" s="15">
        <f>ROUND(C152*M152/1200,0)</f>
        <v/>
      </c>
      <c r="F152" s="15">
        <f>D152-E152</f>
        <v/>
      </c>
      <c r="G152" s="15">
        <f>IF(C152&lt;=0,0,MIN($B$9,C152-F152))</f>
        <v/>
      </c>
      <c r="H152" s="16" t="n"/>
      <c r="I152" s="15">
        <f>MAX(0,C152-F152-G152-MIN(N(H152),MAX(0,C152-F152-G152)))</f>
        <v/>
      </c>
      <c r="J152" s="17">
        <f>L151</f>
        <v/>
      </c>
      <c r="K152" s="17">
        <f>ROUND(J152*M152/1200,0)</f>
        <v/>
      </c>
      <c r="L152" s="17">
        <f>MAX(0,J152-(MIN($B$12,J152+K152)-K152))</f>
        <v/>
      </c>
      <c r="M152" s="18">
        <f>M151</f>
        <v/>
      </c>
    </row>
    <row r="153">
      <c r="A153" t="n">
        <v>132</v>
      </c>
      <c r="B153" s="14">
        <f>EDATE($B$8,131)</f>
        <v/>
      </c>
      <c r="C153" s="15">
        <f>I152</f>
        <v/>
      </c>
      <c r="D153" s="15">
        <f>IF(C153&lt;=0,0,MIN($B$12,C153+E153))</f>
        <v/>
      </c>
      <c r="E153" s="15">
        <f>ROUND(C153*M153/1200,0)</f>
        <v/>
      </c>
      <c r="F153" s="15">
        <f>D153-E153</f>
        <v/>
      </c>
      <c r="G153" s="15">
        <f>IF(C153&lt;=0,0,MIN($B$9,C153-F153))</f>
        <v/>
      </c>
      <c r="H153" s="16" t="n"/>
      <c r="I153" s="15">
        <f>MAX(0,C153-F153-G153-MIN(N(H153),MAX(0,C153-F153-G153)))</f>
        <v/>
      </c>
      <c r="J153" s="17">
        <f>L152</f>
        <v/>
      </c>
      <c r="K153" s="17">
        <f>ROUND(J153*M153/1200,0)</f>
        <v/>
      </c>
      <c r="L153" s="17">
        <f>MAX(0,J153-(MIN($B$12,J153+K153)-K153))</f>
        <v/>
      </c>
      <c r="M153" s="18">
        <f>M152</f>
        <v/>
      </c>
    </row>
    <row r="154">
      <c r="A154" t="n">
        <v>133</v>
      </c>
      <c r="B154" s="14">
        <f>EDATE($B$8,132)</f>
        <v/>
      </c>
      <c r="C154" s="15">
        <f>I153</f>
        <v/>
      </c>
      <c r="D154" s="15">
        <f>IF(C154&lt;=0,0,MIN($B$12,C154+E154))</f>
        <v/>
      </c>
      <c r="E154" s="15">
        <f>ROUND(C154*M154/1200,0)</f>
        <v/>
      </c>
      <c r="F154" s="15">
        <f>D154-E154</f>
        <v/>
      </c>
      <c r="G154" s="15">
        <f>IF(C154&lt;=0,0,MIN($B$9,C154-F154))</f>
        <v/>
      </c>
      <c r="H154" s="16" t="n"/>
      <c r="I154" s="15">
        <f>MAX(0,C154-F154-G154-MIN(N(H154),MAX(0,C154-F154-G154)))</f>
        <v/>
      </c>
      <c r="J154" s="17">
        <f>L153</f>
        <v/>
      </c>
      <c r="K154" s="17">
        <f>ROUND(J154*M154/1200,0)</f>
        <v/>
      </c>
      <c r="L154" s="17">
        <f>MAX(0,J154-(MIN($B$12,J154+K154)-K154))</f>
        <v/>
      </c>
      <c r="M154" s="18">
        <f>M153</f>
        <v/>
      </c>
    </row>
    <row r="155">
      <c r="A155" t="n">
        <v>134</v>
      </c>
      <c r="B155" s="14">
        <f>EDATE($B$8,133)</f>
        <v/>
      </c>
      <c r="C155" s="15">
        <f>I154</f>
        <v/>
      </c>
      <c r="D155" s="15">
        <f>IF(C155&lt;=0,0,MIN($B$12,C155+E155))</f>
        <v/>
      </c>
      <c r="E155" s="15">
        <f>ROUND(C155*M155/1200,0)</f>
        <v/>
      </c>
      <c r="F155" s="15">
        <f>D155-E155</f>
        <v/>
      </c>
      <c r="G155" s="15">
        <f>IF(C155&lt;=0,0,MIN($B$9,C155-F155))</f>
        <v/>
      </c>
      <c r="H155" s="16" t="n"/>
      <c r="I155" s="15">
        <f>MAX(0,C155-F155-G155-MIN(N(H155),MAX(0,C155-F155-G155)))</f>
        <v/>
      </c>
      <c r="J155" s="17">
        <f>L154</f>
        <v/>
      </c>
      <c r="K155" s="17">
        <f>ROUND(J155*M155/1200,0)</f>
        <v/>
      </c>
      <c r="L155" s="17">
        <f>MAX(0,J155-(MIN($B$12,J155+K155)-K155))</f>
        <v/>
      </c>
      <c r="M155" s="18">
        <f>M154</f>
        <v/>
      </c>
    </row>
    <row r="156">
      <c r="A156" t="n">
        <v>135</v>
      </c>
      <c r="B156" s="14">
        <f>EDATE($B$8,134)</f>
        <v/>
      </c>
      <c r="C156" s="15">
        <f>I155</f>
        <v/>
      </c>
      <c r="D156" s="15">
        <f>IF(C156&lt;=0,0,MIN($B$12,C156+E156))</f>
        <v/>
      </c>
      <c r="E156" s="15">
        <f>ROUND(C156*M156/1200,0)</f>
        <v/>
      </c>
      <c r="F156" s="15">
        <f>D156-E156</f>
        <v/>
      </c>
      <c r="G156" s="15">
        <f>IF(C156&lt;=0,0,MIN($B$9,C156-F156))</f>
        <v/>
      </c>
      <c r="H156" s="16" t="n"/>
      <c r="I156" s="15">
        <f>MAX(0,C156-F156-G156-MIN(N(H156),MAX(0,C156-F156-G156)))</f>
        <v/>
      </c>
      <c r="J156" s="17">
        <f>L155</f>
        <v/>
      </c>
      <c r="K156" s="17">
        <f>ROUND(J156*M156/1200,0)</f>
        <v/>
      </c>
      <c r="L156" s="17">
        <f>MAX(0,J156-(MIN($B$12,J156+K156)-K156))</f>
        <v/>
      </c>
      <c r="M156" s="18">
        <f>M155</f>
        <v/>
      </c>
    </row>
    <row r="157">
      <c r="A157" t="n">
        <v>136</v>
      </c>
      <c r="B157" s="14">
        <f>EDATE($B$8,135)</f>
        <v/>
      </c>
      <c r="C157" s="15">
        <f>I156</f>
        <v/>
      </c>
      <c r="D157" s="15">
        <f>IF(C157&lt;=0,0,MIN($B$12,C157+E157))</f>
        <v/>
      </c>
      <c r="E157" s="15">
        <f>ROUND(C157*M157/1200,0)</f>
        <v/>
      </c>
      <c r="F157" s="15">
        <f>D157-E157</f>
        <v/>
      </c>
      <c r="G157" s="15">
        <f>IF(C157&lt;=0,0,MIN($B$9,C157-F157))</f>
        <v/>
      </c>
      <c r="H157" s="16" t="n"/>
      <c r="I157" s="15">
        <f>MAX(0,C157-F157-G157-MIN(N(H157),MAX(0,C157-F157-G157)))</f>
        <v/>
      </c>
      <c r="J157" s="17">
        <f>L156</f>
        <v/>
      </c>
      <c r="K157" s="17">
        <f>ROUND(J157*M157/1200,0)</f>
        <v/>
      </c>
      <c r="L157" s="17">
        <f>MAX(0,J157-(MIN($B$12,J157+K157)-K157))</f>
        <v/>
      </c>
      <c r="M157" s="18">
        <f>M156</f>
        <v/>
      </c>
    </row>
    <row r="158">
      <c r="A158" t="n">
        <v>137</v>
      </c>
      <c r="B158" s="14">
        <f>EDATE($B$8,136)</f>
        <v/>
      </c>
      <c r="C158" s="15">
        <f>I157</f>
        <v/>
      </c>
      <c r="D158" s="15">
        <f>IF(C158&lt;=0,0,MIN($B$12,C158+E158))</f>
        <v/>
      </c>
      <c r="E158" s="15">
        <f>ROUND(C158*M158/1200,0)</f>
        <v/>
      </c>
      <c r="F158" s="15">
        <f>D158-E158</f>
        <v/>
      </c>
      <c r="G158" s="15">
        <f>IF(C158&lt;=0,0,MIN($B$9,C158-F158))</f>
        <v/>
      </c>
      <c r="H158" s="16" t="n"/>
      <c r="I158" s="15">
        <f>MAX(0,C158-F158-G158-MIN(N(H158),MAX(0,C158-F158-G158)))</f>
        <v/>
      </c>
      <c r="J158" s="17">
        <f>L157</f>
        <v/>
      </c>
      <c r="K158" s="17">
        <f>ROUND(J158*M158/1200,0)</f>
        <v/>
      </c>
      <c r="L158" s="17">
        <f>MAX(0,J158-(MIN($B$12,J158+K158)-K158))</f>
        <v/>
      </c>
      <c r="M158" s="18">
        <f>M157</f>
        <v/>
      </c>
    </row>
    <row r="159">
      <c r="A159" t="n">
        <v>138</v>
      </c>
      <c r="B159" s="14">
        <f>EDATE($B$8,137)</f>
        <v/>
      </c>
      <c r="C159" s="15">
        <f>I158</f>
        <v/>
      </c>
      <c r="D159" s="15">
        <f>IF(C159&lt;=0,0,MIN($B$12,C159+E159))</f>
        <v/>
      </c>
      <c r="E159" s="15">
        <f>ROUND(C159*M159/1200,0)</f>
        <v/>
      </c>
      <c r="F159" s="15">
        <f>D159-E159</f>
        <v/>
      </c>
      <c r="G159" s="15">
        <f>IF(C159&lt;=0,0,MIN($B$9,C159-F159))</f>
        <v/>
      </c>
      <c r="H159" s="16" t="n"/>
      <c r="I159" s="15">
        <f>MAX(0,C159-F159-G159-MIN(N(H159),MAX(0,C159-F159-G159)))</f>
        <v/>
      </c>
      <c r="J159" s="17">
        <f>L158</f>
        <v/>
      </c>
      <c r="K159" s="17">
        <f>ROUND(J159*M159/1200,0)</f>
        <v/>
      </c>
      <c r="L159" s="17">
        <f>MAX(0,J159-(MIN($B$12,J159+K159)-K159))</f>
        <v/>
      </c>
      <c r="M159" s="18">
        <f>M158</f>
        <v/>
      </c>
    </row>
    <row r="160">
      <c r="A160" t="n">
        <v>139</v>
      </c>
      <c r="B160" s="14">
        <f>EDATE($B$8,138)</f>
        <v/>
      </c>
      <c r="C160" s="15">
        <f>I159</f>
        <v/>
      </c>
      <c r="D160" s="15">
        <f>IF(C160&lt;=0,0,MIN($B$12,C160+E160))</f>
        <v/>
      </c>
      <c r="E160" s="15">
        <f>ROUND(C160*M160/1200,0)</f>
        <v/>
      </c>
      <c r="F160" s="15">
        <f>D160-E160</f>
        <v/>
      </c>
      <c r="G160" s="15">
        <f>IF(C160&lt;=0,0,MIN($B$9,C160-F160))</f>
        <v/>
      </c>
      <c r="H160" s="16" t="n"/>
      <c r="I160" s="15">
        <f>MAX(0,C160-F160-G160-MIN(N(H160),MAX(0,C160-F160-G160)))</f>
        <v/>
      </c>
      <c r="J160" s="17">
        <f>L159</f>
        <v/>
      </c>
      <c r="K160" s="17">
        <f>ROUND(J160*M160/1200,0)</f>
        <v/>
      </c>
      <c r="L160" s="17">
        <f>MAX(0,J160-(MIN($B$12,J160+K160)-K160))</f>
        <v/>
      </c>
      <c r="M160" s="18">
        <f>M159</f>
        <v/>
      </c>
    </row>
    <row r="161">
      <c r="A161" t="n">
        <v>140</v>
      </c>
      <c r="B161" s="14">
        <f>EDATE($B$8,139)</f>
        <v/>
      </c>
      <c r="C161" s="15">
        <f>I160</f>
        <v/>
      </c>
      <c r="D161" s="15">
        <f>IF(C161&lt;=0,0,MIN($B$12,C161+E161))</f>
        <v/>
      </c>
      <c r="E161" s="15">
        <f>ROUND(C161*M161/1200,0)</f>
        <v/>
      </c>
      <c r="F161" s="15">
        <f>D161-E161</f>
        <v/>
      </c>
      <c r="G161" s="15">
        <f>IF(C161&lt;=0,0,MIN($B$9,C161-F161))</f>
        <v/>
      </c>
      <c r="H161" s="16" t="n"/>
      <c r="I161" s="15">
        <f>MAX(0,C161-F161-G161-MIN(N(H161),MAX(0,C161-F161-G161)))</f>
        <v/>
      </c>
      <c r="J161" s="17">
        <f>L160</f>
        <v/>
      </c>
      <c r="K161" s="17">
        <f>ROUND(J161*M161/1200,0)</f>
        <v/>
      </c>
      <c r="L161" s="17">
        <f>MAX(0,J161-(MIN($B$12,J161+K161)-K161))</f>
        <v/>
      </c>
      <c r="M161" s="18">
        <f>M160</f>
        <v/>
      </c>
    </row>
    <row r="162">
      <c r="A162" t="n">
        <v>141</v>
      </c>
      <c r="B162" s="14">
        <f>EDATE($B$8,140)</f>
        <v/>
      </c>
      <c r="C162" s="15">
        <f>I161</f>
        <v/>
      </c>
      <c r="D162" s="15">
        <f>IF(C162&lt;=0,0,MIN($B$12,C162+E162))</f>
        <v/>
      </c>
      <c r="E162" s="15">
        <f>ROUND(C162*M162/1200,0)</f>
        <v/>
      </c>
      <c r="F162" s="15">
        <f>D162-E162</f>
        <v/>
      </c>
      <c r="G162" s="15">
        <f>IF(C162&lt;=0,0,MIN($B$9,C162-F162))</f>
        <v/>
      </c>
      <c r="H162" s="16" t="n"/>
      <c r="I162" s="15">
        <f>MAX(0,C162-F162-G162-MIN(N(H162),MAX(0,C162-F162-G162)))</f>
        <v/>
      </c>
      <c r="J162" s="17">
        <f>L161</f>
        <v/>
      </c>
      <c r="K162" s="17">
        <f>ROUND(J162*M162/1200,0)</f>
        <v/>
      </c>
      <c r="L162" s="17">
        <f>MAX(0,J162-(MIN($B$12,J162+K162)-K162))</f>
        <v/>
      </c>
      <c r="M162" s="18">
        <f>M161</f>
        <v/>
      </c>
    </row>
    <row r="163">
      <c r="A163" t="n">
        <v>142</v>
      </c>
      <c r="B163" s="14">
        <f>EDATE($B$8,141)</f>
        <v/>
      </c>
      <c r="C163" s="15">
        <f>I162</f>
        <v/>
      </c>
      <c r="D163" s="15">
        <f>IF(C163&lt;=0,0,MIN($B$12,C163+E163))</f>
        <v/>
      </c>
      <c r="E163" s="15">
        <f>ROUND(C163*M163/1200,0)</f>
        <v/>
      </c>
      <c r="F163" s="15">
        <f>D163-E163</f>
        <v/>
      </c>
      <c r="G163" s="15">
        <f>IF(C163&lt;=0,0,MIN($B$9,C163-F163))</f>
        <v/>
      </c>
      <c r="H163" s="16" t="n"/>
      <c r="I163" s="15">
        <f>MAX(0,C163-F163-G163-MIN(N(H163),MAX(0,C163-F163-G163)))</f>
        <v/>
      </c>
      <c r="J163" s="17">
        <f>L162</f>
        <v/>
      </c>
      <c r="K163" s="17">
        <f>ROUND(J163*M163/1200,0)</f>
        <v/>
      </c>
      <c r="L163" s="17">
        <f>MAX(0,J163-(MIN($B$12,J163+K163)-K163))</f>
        <v/>
      </c>
      <c r="M163" s="18">
        <f>M162</f>
        <v/>
      </c>
    </row>
    <row r="164">
      <c r="A164" t="n">
        <v>143</v>
      </c>
      <c r="B164" s="14">
        <f>EDATE($B$8,142)</f>
        <v/>
      </c>
      <c r="C164" s="15">
        <f>I163</f>
        <v/>
      </c>
      <c r="D164" s="15">
        <f>IF(C164&lt;=0,0,MIN($B$12,C164+E164))</f>
        <v/>
      </c>
      <c r="E164" s="15">
        <f>ROUND(C164*M164/1200,0)</f>
        <v/>
      </c>
      <c r="F164" s="15">
        <f>D164-E164</f>
        <v/>
      </c>
      <c r="G164" s="15">
        <f>IF(C164&lt;=0,0,MIN($B$9,C164-F164))</f>
        <v/>
      </c>
      <c r="H164" s="16" t="n"/>
      <c r="I164" s="15">
        <f>MAX(0,C164-F164-G164-MIN(N(H164),MAX(0,C164-F164-G164)))</f>
        <v/>
      </c>
      <c r="J164" s="17">
        <f>L163</f>
        <v/>
      </c>
      <c r="K164" s="17">
        <f>ROUND(J164*M164/1200,0)</f>
        <v/>
      </c>
      <c r="L164" s="17">
        <f>MAX(0,J164-(MIN($B$12,J164+K164)-K164))</f>
        <v/>
      </c>
      <c r="M164" s="18">
        <f>M163</f>
        <v/>
      </c>
    </row>
    <row r="165">
      <c r="A165" t="n">
        <v>144</v>
      </c>
      <c r="B165" s="14">
        <f>EDATE($B$8,143)</f>
        <v/>
      </c>
      <c r="C165" s="15">
        <f>I164</f>
        <v/>
      </c>
      <c r="D165" s="15">
        <f>IF(C165&lt;=0,0,MIN($B$12,C165+E165))</f>
        <v/>
      </c>
      <c r="E165" s="15">
        <f>ROUND(C165*M165/1200,0)</f>
        <v/>
      </c>
      <c r="F165" s="15">
        <f>D165-E165</f>
        <v/>
      </c>
      <c r="G165" s="15">
        <f>IF(C165&lt;=0,0,MIN($B$9,C165-F165))</f>
        <v/>
      </c>
      <c r="H165" s="16" t="n"/>
      <c r="I165" s="15">
        <f>MAX(0,C165-F165-G165-MIN(N(H165),MAX(0,C165-F165-G165)))</f>
        <v/>
      </c>
      <c r="J165" s="17">
        <f>L164</f>
        <v/>
      </c>
      <c r="K165" s="17">
        <f>ROUND(J165*M165/1200,0)</f>
        <v/>
      </c>
      <c r="L165" s="17">
        <f>MAX(0,J165-(MIN($B$12,J165+K165)-K165))</f>
        <v/>
      </c>
      <c r="M165" s="18">
        <f>M164</f>
        <v/>
      </c>
    </row>
    <row r="166">
      <c r="A166" t="n">
        <v>145</v>
      </c>
      <c r="B166" s="14">
        <f>EDATE($B$8,144)</f>
        <v/>
      </c>
      <c r="C166" s="15">
        <f>I165</f>
        <v/>
      </c>
      <c r="D166" s="15">
        <f>IF(C166&lt;=0,0,MIN($B$12,C166+E166))</f>
        <v/>
      </c>
      <c r="E166" s="15">
        <f>ROUND(C166*M166/1200,0)</f>
        <v/>
      </c>
      <c r="F166" s="15">
        <f>D166-E166</f>
        <v/>
      </c>
      <c r="G166" s="15">
        <f>IF(C166&lt;=0,0,MIN($B$9,C166-F166))</f>
        <v/>
      </c>
      <c r="H166" s="16" t="n"/>
      <c r="I166" s="15">
        <f>MAX(0,C166-F166-G166-MIN(N(H166),MAX(0,C166-F166-G166)))</f>
        <v/>
      </c>
      <c r="J166" s="17">
        <f>L165</f>
        <v/>
      </c>
      <c r="K166" s="17">
        <f>ROUND(J166*M166/1200,0)</f>
        <v/>
      </c>
      <c r="L166" s="17">
        <f>MAX(0,J166-(MIN($B$12,J166+K166)-K166))</f>
        <v/>
      </c>
      <c r="M166" s="18">
        <f>M165</f>
        <v/>
      </c>
    </row>
    <row r="167">
      <c r="A167" t="n">
        <v>146</v>
      </c>
      <c r="B167" s="14">
        <f>EDATE($B$8,145)</f>
        <v/>
      </c>
      <c r="C167" s="15">
        <f>I166</f>
        <v/>
      </c>
      <c r="D167" s="15">
        <f>IF(C167&lt;=0,0,MIN($B$12,C167+E167))</f>
        <v/>
      </c>
      <c r="E167" s="15">
        <f>ROUND(C167*M167/1200,0)</f>
        <v/>
      </c>
      <c r="F167" s="15">
        <f>D167-E167</f>
        <v/>
      </c>
      <c r="G167" s="15">
        <f>IF(C167&lt;=0,0,MIN($B$9,C167-F167))</f>
        <v/>
      </c>
      <c r="H167" s="16" t="n"/>
      <c r="I167" s="15">
        <f>MAX(0,C167-F167-G167-MIN(N(H167),MAX(0,C167-F167-G167)))</f>
        <v/>
      </c>
      <c r="J167" s="17">
        <f>L166</f>
        <v/>
      </c>
      <c r="K167" s="17">
        <f>ROUND(J167*M167/1200,0)</f>
        <v/>
      </c>
      <c r="L167" s="17">
        <f>MAX(0,J167-(MIN($B$12,J167+K167)-K167))</f>
        <v/>
      </c>
      <c r="M167" s="18">
        <f>M166</f>
        <v/>
      </c>
    </row>
    <row r="168">
      <c r="A168" t="n">
        <v>147</v>
      </c>
      <c r="B168" s="14">
        <f>EDATE($B$8,146)</f>
        <v/>
      </c>
      <c r="C168" s="15">
        <f>I167</f>
        <v/>
      </c>
      <c r="D168" s="15">
        <f>IF(C168&lt;=0,0,MIN($B$12,C168+E168))</f>
        <v/>
      </c>
      <c r="E168" s="15">
        <f>ROUND(C168*M168/1200,0)</f>
        <v/>
      </c>
      <c r="F168" s="15">
        <f>D168-E168</f>
        <v/>
      </c>
      <c r="G168" s="15">
        <f>IF(C168&lt;=0,0,MIN($B$9,C168-F168))</f>
        <v/>
      </c>
      <c r="H168" s="16" t="n"/>
      <c r="I168" s="15">
        <f>MAX(0,C168-F168-G168-MIN(N(H168),MAX(0,C168-F168-G168)))</f>
        <v/>
      </c>
      <c r="J168" s="17">
        <f>L167</f>
        <v/>
      </c>
      <c r="K168" s="17">
        <f>ROUND(J168*M168/1200,0)</f>
        <v/>
      </c>
      <c r="L168" s="17">
        <f>MAX(0,J168-(MIN($B$12,J168+K168)-K168))</f>
        <v/>
      </c>
      <c r="M168" s="18">
        <f>M167</f>
        <v/>
      </c>
    </row>
    <row r="169">
      <c r="A169" t="n">
        <v>148</v>
      </c>
      <c r="B169" s="14">
        <f>EDATE($B$8,147)</f>
        <v/>
      </c>
      <c r="C169" s="15">
        <f>I168</f>
        <v/>
      </c>
      <c r="D169" s="15">
        <f>IF(C169&lt;=0,0,MIN($B$12,C169+E169))</f>
        <v/>
      </c>
      <c r="E169" s="15">
        <f>ROUND(C169*M169/1200,0)</f>
        <v/>
      </c>
      <c r="F169" s="15">
        <f>D169-E169</f>
        <v/>
      </c>
      <c r="G169" s="15">
        <f>IF(C169&lt;=0,0,MIN($B$9,C169-F169))</f>
        <v/>
      </c>
      <c r="H169" s="16" t="n"/>
      <c r="I169" s="15">
        <f>MAX(0,C169-F169-G169-MIN(N(H169),MAX(0,C169-F169-G169)))</f>
        <v/>
      </c>
      <c r="J169" s="17">
        <f>L168</f>
        <v/>
      </c>
      <c r="K169" s="17">
        <f>ROUND(J169*M169/1200,0)</f>
        <v/>
      </c>
      <c r="L169" s="17">
        <f>MAX(0,J169-(MIN($B$12,J169+K169)-K169))</f>
        <v/>
      </c>
      <c r="M169" s="18">
        <f>M168</f>
        <v/>
      </c>
    </row>
    <row r="170">
      <c r="A170" t="n">
        <v>149</v>
      </c>
      <c r="B170" s="14">
        <f>EDATE($B$8,148)</f>
        <v/>
      </c>
      <c r="C170" s="15">
        <f>I169</f>
        <v/>
      </c>
      <c r="D170" s="15">
        <f>IF(C170&lt;=0,0,MIN($B$12,C170+E170))</f>
        <v/>
      </c>
      <c r="E170" s="15">
        <f>ROUND(C170*M170/1200,0)</f>
        <v/>
      </c>
      <c r="F170" s="15">
        <f>D170-E170</f>
        <v/>
      </c>
      <c r="G170" s="15">
        <f>IF(C170&lt;=0,0,MIN($B$9,C170-F170))</f>
        <v/>
      </c>
      <c r="H170" s="16" t="n"/>
      <c r="I170" s="15">
        <f>MAX(0,C170-F170-G170-MIN(N(H170),MAX(0,C170-F170-G170)))</f>
        <v/>
      </c>
      <c r="J170" s="17">
        <f>L169</f>
        <v/>
      </c>
      <c r="K170" s="17">
        <f>ROUND(J170*M170/1200,0)</f>
        <v/>
      </c>
      <c r="L170" s="17">
        <f>MAX(0,J170-(MIN($B$12,J170+K170)-K170))</f>
        <v/>
      </c>
      <c r="M170" s="18">
        <f>M169</f>
        <v/>
      </c>
    </row>
    <row r="171">
      <c r="A171" t="n">
        <v>150</v>
      </c>
      <c r="B171" s="14">
        <f>EDATE($B$8,149)</f>
        <v/>
      </c>
      <c r="C171" s="15">
        <f>I170</f>
        <v/>
      </c>
      <c r="D171" s="15">
        <f>IF(C171&lt;=0,0,MIN($B$12,C171+E171))</f>
        <v/>
      </c>
      <c r="E171" s="15">
        <f>ROUND(C171*M171/1200,0)</f>
        <v/>
      </c>
      <c r="F171" s="15">
        <f>D171-E171</f>
        <v/>
      </c>
      <c r="G171" s="15">
        <f>IF(C171&lt;=0,0,MIN($B$9,C171-F171))</f>
        <v/>
      </c>
      <c r="H171" s="16" t="n"/>
      <c r="I171" s="15">
        <f>MAX(0,C171-F171-G171-MIN(N(H171),MAX(0,C171-F171-G171)))</f>
        <v/>
      </c>
      <c r="J171" s="17">
        <f>L170</f>
        <v/>
      </c>
      <c r="K171" s="17">
        <f>ROUND(J171*M171/1200,0)</f>
        <v/>
      </c>
      <c r="L171" s="17">
        <f>MAX(0,J171-(MIN($B$12,J171+K171)-K171))</f>
        <v/>
      </c>
      <c r="M171" s="18">
        <f>M170</f>
        <v/>
      </c>
    </row>
    <row r="172">
      <c r="A172" t="n">
        <v>151</v>
      </c>
      <c r="B172" s="14">
        <f>EDATE($B$8,150)</f>
        <v/>
      </c>
      <c r="C172" s="15">
        <f>I171</f>
        <v/>
      </c>
      <c r="D172" s="15">
        <f>IF(C172&lt;=0,0,MIN($B$12,C172+E172))</f>
        <v/>
      </c>
      <c r="E172" s="15">
        <f>ROUND(C172*M172/1200,0)</f>
        <v/>
      </c>
      <c r="F172" s="15">
        <f>D172-E172</f>
        <v/>
      </c>
      <c r="G172" s="15">
        <f>IF(C172&lt;=0,0,MIN($B$9,C172-F172))</f>
        <v/>
      </c>
      <c r="H172" s="16" t="n"/>
      <c r="I172" s="15">
        <f>MAX(0,C172-F172-G172-MIN(N(H172),MAX(0,C172-F172-G172)))</f>
        <v/>
      </c>
      <c r="J172" s="17">
        <f>L171</f>
        <v/>
      </c>
      <c r="K172" s="17">
        <f>ROUND(J172*M172/1200,0)</f>
        <v/>
      </c>
      <c r="L172" s="17">
        <f>MAX(0,J172-(MIN($B$12,J172+K172)-K172))</f>
        <v/>
      </c>
      <c r="M172" s="18">
        <f>M171</f>
        <v/>
      </c>
    </row>
    <row r="173">
      <c r="A173" t="n">
        <v>152</v>
      </c>
      <c r="B173" s="14">
        <f>EDATE($B$8,151)</f>
        <v/>
      </c>
      <c r="C173" s="15">
        <f>I172</f>
        <v/>
      </c>
      <c r="D173" s="15">
        <f>IF(C173&lt;=0,0,MIN($B$12,C173+E173))</f>
        <v/>
      </c>
      <c r="E173" s="15">
        <f>ROUND(C173*M173/1200,0)</f>
        <v/>
      </c>
      <c r="F173" s="15">
        <f>D173-E173</f>
        <v/>
      </c>
      <c r="G173" s="15">
        <f>IF(C173&lt;=0,0,MIN($B$9,C173-F173))</f>
        <v/>
      </c>
      <c r="H173" s="16" t="n"/>
      <c r="I173" s="15">
        <f>MAX(0,C173-F173-G173-MIN(N(H173),MAX(0,C173-F173-G173)))</f>
        <v/>
      </c>
      <c r="J173" s="17">
        <f>L172</f>
        <v/>
      </c>
      <c r="K173" s="17">
        <f>ROUND(J173*M173/1200,0)</f>
        <v/>
      </c>
      <c r="L173" s="17">
        <f>MAX(0,J173-(MIN($B$12,J173+K173)-K173))</f>
        <v/>
      </c>
      <c r="M173" s="18">
        <f>M172</f>
        <v/>
      </c>
    </row>
    <row r="174">
      <c r="A174" t="n">
        <v>153</v>
      </c>
      <c r="B174" s="14">
        <f>EDATE($B$8,152)</f>
        <v/>
      </c>
      <c r="C174" s="15">
        <f>I173</f>
        <v/>
      </c>
      <c r="D174" s="15">
        <f>IF(C174&lt;=0,0,MIN($B$12,C174+E174))</f>
        <v/>
      </c>
      <c r="E174" s="15">
        <f>ROUND(C174*M174/1200,0)</f>
        <v/>
      </c>
      <c r="F174" s="15">
        <f>D174-E174</f>
        <v/>
      </c>
      <c r="G174" s="15">
        <f>IF(C174&lt;=0,0,MIN($B$9,C174-F174))</f>
        <v/>
      </c>
      <c r="H174" s="16" t="n"/>
      <c r="I174" s="15">
        <f>MAX(0,C174-F174-G174-MIN(N(H174),MAX(0,C174-F174-G174)))</f>
        <v/>
      </c>
      <c r="J174" s="17">
        <f>L173</f>
        <v/>
      </c>
      <c r="K174" s="17">
        <f>ROUND(J174*M174/1200,0)</f>
        <v/>
      </c>
      <c r="L174" s="17">
        <f>MAX(0,J174-(MIN($B$12,J174+K174)-K174))</f>
        <v/>
      </c>
      <c r="M174" s="18">
        <f>M173</f>
        <v/>
      </c>
    </row>
    <row r="175">
      <c r="A175" t="n">
        <v>154</v>
      </c>
      <c r="B175" s="14">
        <f>EDATE($B$8,153)</f>
        <v/>
      </c>
      <c r="C175" s="15">
        <f>I174</f>
        <v/>
      </c>
      <c r="D175" s="15">
        <f>IF(C175&lt;=0,0,MIN($B$12,C175+E175))</f>
        <v/>
      </c>
      <c r="E175" s="15">
        <f>ROUND(C175*M175/1200,0)</f>
        <v/>
      </c>
      <c r="F175" s="15">
        <f>D175-E175</f>
        <v/>
      </c>
      <c r="G175" s="15">
        <f>IF(C175&lt;=0,0,MIN($B$9,C175-F175))</f>
        <v/>
      </c>
      <c r="H175" s="16" t="n"/>
      <c r="I175" s="15">
        <f>MAX(0,C175-F175-G175-MIN(N(H175),MAX(0,C175-F175-G175)))</f>
        <v/>
      </c>
      <c r="J175" s="17">
        <f>L174</f>
        <v/>
      </c>
      <c r="K175" s="17">
        <f>ROUND(J175*M175/1200,0)</f>
        <v/>
      </c>
      <c r="L175" s="17">
        <f>MAX(0,J175-(MIN($B$12,J175+K175)-K175))</f>
        <v/>
      </c>
      <c r="M175" s="18">
        <f>M174</f>
        <v/>
      </c>
    </row>
    <row r="176">
      <c r="A176" t="n">
        <v>155</v>
      </c>
      <c r="B176" s="14">
        <f>EDATE($B$8,154)</f>
        <v/>
      </c>
      <c r="C176" s="15">
        <f>I175</f>
        <v/>
      </c>
      <c r="D176" s="15">
        <f>IF(C176&lt;=0,0,MIN($B$12,C176+E176))</f>
        <v/>
      </c>
      <c r="E176" s="15">
        <f>ROUND(C176*M176/1200,0)</f>
        <v/>
      </c>
      <c r="F176" s="15">
        <f>D176-E176</f>
        <v/>
      </c>
      <c r="G176" s="15">
        <f>IF(C176&lt;=0,0,MIN($B$9,C176-F176))</f>
        <v/>
      </c>
      <c r="H176" s="16" t="n"/>
      <c r="I176" s="15">
        <f>MAX(0,C176-F176-G176-MIN(N(H176),MAX(0,C176-F176-G176)))</f>
        <v/>
      </c>
      <c r="J176" s="17">
        <f>L175</f>
        <v/>
      </c>
      <c r="K176" s="17">
        <f>ROUND(J176*M176/1200,0)</f>
        <v/>
      </c>
      <c r="L176" s="17">
        <f>MAX(0,J176-(MIN($B$12,J176+K176)-K176))</f>
        <v/>
      </c>
      <c r="M176" s="18">
        <f>M175</f>
        <v/>
      </c>
    </row>
    <row r="177">
      <c r="A177" t="n">
        <v>156</v>
      </c>
      <c r="B177" s="14">
        <f>EDATE($B$8,155)</f>
        <v/>
      </c>
      <c r="C177" s="15">
        <f>I176</f>
        <v/>
      </c>
      <c r="D177" s="15">
        <f>IF(C177&lt;=0,0,MIN($B$12,C177+E177))</f>
        <v/>
      </c>
      <c r="E177" s="15">
        <f>ROUND(C177*M177/1200,0)</f>
        <v/>
      </c>
      <c r="F177" s="15">
        <f>D177-E177</f>
        <v/>
      </c>
      <c r="G177" s="15">
        <f>IF(C177&lt;=0,0,MIN($B$9,C177-F177))</f>
        <v/>
      </c>
      <c r="H177" s="16" t="n"/>
      <c r="I177" s="15">
        <f>MAX(0,C177-F177-G177-MIN(N(H177),MAX(0,C177-F177-G177)))</f>
        <v/>
      </c>
      <c r="J177" s="17">
        <f>L176</f>
        <v/>
      </c>
      <c r="K177" s="17">
        <f>ROUND(J177*M177/1200,0)</f>
        <v/>
      </c>
      <c r="L177" s="17">
        <f>MAX(0,J177-(MIN($B$12,J177+K177)-K177))</f>
        <v/>
      </c>
      <c r="M177" s="18">
        <f>M176</f>
        <v/>
      </c>
    </row>
    <row r="178">
      <c r="A178" t="n">
        <v>157</v>
      </c>
      <c r="B178" s="14">
        <f>EDATE($B$8,156)</f>
        <v/>
      </c>
      <c r="C178" s="15">
        <f>I177</f>
        <v/>
      </c>
      <c r="D178" s="15">
        <f>IF(C178&lt;=0,0,MIN($B$12,C178+E178))</f>
        <v/>
      </c>
      <c r="E178" s="15">
        <f>ROUND(C178*M178/1200,0)</f>
        <v/>
      </c>
      <c r="F178" s="15">
        <f>D178-E178</f>
        <v/>
      </c>
      <c r="G178" s="15">
        <f>IF(C178&lt;=0,0,MIN($B$9,C178-F178))</f>
        <v/>
      </c>
      <c r="H178" s="16" t="n"/>
      <c r="I178" s="15">
        <f>MAX(0,C178-F178-G178-MIN(N(H178),MAX(0,C178-F178-G178)))</f>
        <v/>
      </c>
      <c r="J178" s="17">
        <f>L177</f>
        <v/>
      </c>
      <c r="K178" s="17">
        <f>ROUND(J178*M178/1200,0)</f>
        <v/>
      </c>
      <c r="L178" s="17">
        <f>MAX(0,J178-(MIN($B$12,J178+K178)-K178))</f>
        <v/>
      </c>
      <c r="M178" s="18">
        <f>M177</f>
        <v/>
      </c>
    </row>
    <row r="179">
      <c r="A179" t="n">
        <v>158</v>
      </c>
      <c r="B179" s="14">
        <f>EDATE($B$8,157)</f>
        <v/>
      </c>
      <c r="C179" s="15">
        <f>I178</f>
        <v/>
      </c>
      <c r="D179" s="15">
        <f>IF(C179&lt;=0,0,MIN($B$12,C179+E179))</f>
        <v/>
      </c>
      <c r="E179" s="15">
        <f>ROUND(C179*M179/1200,0)</f>
        <v/>
      </c>
      <c r="F179" s="15">
        <f>D179-E179</f>
        <v/>
      </c>
      <c r="G179" s="15">
        <f>IF(C179&lt;=0,0,MIN($B$9,C179-F179))</f>
        <v/>
      </c>
      <c r="H179" s="16" t="n"/>
      <c r="I179" s="15">
        <f>MAX(0,C179-F179-G179-MIN(N(H179),MAX(0,C179-F179-G179)))</f>
        <v/>
      </c>
      <c r="J179" s="17">
        <f>L178</f>
        <v/>
      </c>
      <c r="K179" s="17">
        <f>ROUND(J179*M179/1200,0)</f>
        <v/>
      </c>
      <c r="L179" s="17">
        <f>MAX(0,J179-(MIN($B$12,J179+K179)-K179))</f>
        <v/>
      </c>
      <c r="M179" s="18">
        <f>M178</f>
        <v/>
      </c>
    </row>
    <row r="180">
      <c r="A180" t="n">
        <v>159</v>
      </c>
      <c r="B180" s="14">
        <f>EDATE($B$8,158)</f>
        <v/>
      </c>
      <c r="C180" s="15">
        <f>I179</f>
        <v/>
      </c>
      <c r="D180" s="15">
        <f>IF(C180&lt;=0,0,MIN($B$12,C180+E180))</f>
        <v/>
      </c>
      <c r="E180" s="15">
        <f>ROUND(C180*M180/1200,0)</f>
        <v/>
      </c>
      <c r="F180" s="15">
        <f>D180-E180</f>
        <v/>
      </c>
      <c r="G180" s="15">
        <f>IF(C180&lt;=0,0,MIN($B$9,C180-F180))</f>
        <v/>
      </c>
      <c r="H180" s="16" t="n"/>
      <c r="I180" s="15">
        <f>MAX(0,C180-F180-G180-MIN(N(H180),MAX(0,C180-F180-G180)))</f>
        <v/>
      </c>
      <c r="J180" s="17">
        <f>L179</f>
        <v/>
      </c>
      <c r="K180" s="17">
        <f>ROUND(J180*M180/1200,0)</f>
        <v/>
      </c>
      <c r="L180" s="17">
        <f>MAX(0,J180-(MIN($B$12,J180+K180)-K180))</f>
        <v/>
      </c>
      <c r="M180" s="18">
        <f>M179</f>
        <v/>
      </c>
    </row>
    <row r="181">
      <c r="A181" t="n">
        <v>160</v>
      </c>
      <c r="B181" s="14">
        <f>EDATE($B$8,159)</f>
        <v/>
      </c>
      <c r="C181" s="15">
        <f>I180</f>
        <v/>
      </c>
      <c r="D181" s="15">
        <f>IF(C181&lt;=0,0,MIN($B$12,C181+E181))</f>
        <v/>
      </c>
      <c r="E181" s="15">
        <f>ROUND(C181*M181/1200,0)</f>
        <v/>
      </c>
      <c r="F181" s="15">
        <f>D181-E181</f>
        <v/>
      </c>
      <c r="G181" s="15">
        <f>IF(C181&lt;=0,0,MIN($B$9,C181-F181))</f>
        <v/>
      </c>
      <c r="H181" s="16" t="n"/>
      <c r="I181" s="15">
        <f>MAX(0,C181-F181-G181-MIN(N(H181),MAX(0,C181-F181-G181)))</f>
        <v/>
      </c>
      <c r="J181" s="17">
        <f>L180</f>
        <v/>
      </c>
      <c r="K181" s="17">
        <f>ROUND(J181*M181/1200,0)</f>
        <v/>
      </c>
      <c r="L181" s="17">
        <f>MAX(0,J181-(MIN($B$12,J181+K181)-K181))</f>
        <v/>
      </c>
      <c r="M181" s="18">
        <f>M180</f>
        <v/>
      </c>
    </row>
    <row r="182">
      <c r="A182" t="n">
        <v>161</v>
      </c>
      <c r="B182" s="14">
        <f>EDATE($B$8,160)</f>
        <v/>
      </c>
      <c r="C182" s="15">
        <f>I181</f>
        <v/>
      </c>
      <c r="D182" s="15">
        <f>IF(C182&lt;=0,0,MIN($B$12,C182+E182))</f>
        <v/>
      </c>
      <c r="E182" s="15">
        <f>ROUND(C182*M182/1200,0)</f>
        <v/>
      </c>
      <c r="F182" s="15">
        <f>D182-E182</f>
        <v/>
      </c>
      <c r="G182" s="15">
        <f>IF(C182&lt;=0,0,MIN($B$9,C182-F182))</f>
        <v/>
      </c>
      <c r="H182" s="16" t="n"/>
      <c r="I182" s="15">
        <f>MAX(0,C182-F182-G182-MIN(N(H182),MAX(0,C182-F182-G182)))</f>
        <v/>
      </c>
      <c r="J182" s="17">
        <f>L181</f>
        <v/>
      </c>
      <c r="K182" s="17">
        <f>ROUND(J182*M182/1200,0)</f>
        <v/>
      </c>
      <c r="L182" s="17">
        <f>MAX(0,J182-(MIN($B$12,J182+K182)-K182))</f>
        <v/>
      </c>
      <c r="M182" s="18">
        <f>M181</f>
        <v/>
      </c>
    </row>
    <row r="183">
      <c r="A183" t="n">
        <v>162</v>
      </c>
      <c r="B183" s="14">
        <f>EDATE($B$8,161)</f>
        <v/>
      </c>
      <c r="C183" s="15">
        <f>I182</f>
        <v/>
      </c>
      <c r="D183" s="15">
        <f>IF(C183&lt;=0,0,MIN($B$12,C183+E183))</f>
        <v/>
      </c>
      <c r="E183" s="15">
        <f>ROUND(C183*M183/1200,0)</f>
        <v/>
      </c>
      <c r="F183" s="15">
        <f>D183-E183</f>
        <v/>
      </c>
      <c r="G183" s="15">
        <f>IF(C183&lt;=0,0,MIN($B$9,C183-F183))</f>
        <v/>
      </c>
      <c r="H183" s="16" t="n"/>
      <c r="I183" s="15">
        <f>MAX(0,C183-F183-G183-MIN(N(H183),MAX(0,C183-F183-G183)))</f>
        <v/>
      </c>
      <c r="J183" s="17">
        <f>L182</f>
        <v/>
      </c>
      <c r="K183" s="17">
        <f>ROUND(J183*M183/1200,0)</f>
        <v/>
      </c>
      <c r="L183" s="17">
        <f>MAX(0,J183-(MIN($B$12,J183+K183)-K183))</f>
        <v/>
      </c>
      <c r="M183" s="18">
        <f>M182</f>
        <v/>
      </c>
    </row>
    <row r="184">
      <c r="A184" t="n">
        <v>163</v>
      </c>
      <c r="B184" s="14">
        <f>EDATE($B$8,162)</f>
        <v/>
      </c>
      <c r="C184" s="15">
        <f>I183</f>
        <v/>
      </c>
      <c r="D184" s="15">
        <f>IF(C184&lt;=0,0,MIN($B$12,C184+E184))</f>
        <v/>
      </c>
      <c r="E184" s="15">
        <f>ROUND(C184*M184/1200,0)</f>
        <v/>
      </c>
      <c r="F184" s="15">
        <f>D184-E184</f>
        <v/>
      </c>
      <c r="G184" s="15">
        <f>IF(C184&lt;=0,0,MIN($B$9,C184-F184))</f>
        <v/>
      </c>
      <c r="H184" s="16" t="n"/>
      <c r="I184" s="15">
        <f>MAX(0,C184-F184-G184-MIN(N(H184),MAX(0,C184-F184-G184)))</f>
        <v/>
      </c>
      <c r="J184" s="17">
        <f>L183</f>
        <v/>
      </c>
      <c r="K184" s="17">
        <f>ROUND(J184*M184/1200,0)</f>
        <v/>
      </c>
      <c r="L184" s="17">
        <f>MAX(0,J184-(MIN($B$12,J184+K184)-K184))</f>
        <v/>
      </c>
      <c r="M184" s="18">
        <f>M183</f>
        <v/>
      </c>
    </row>
    <row r="185">
      <c r="A185" t="n">
        <v>164</v>
      </c>
      <c r="B185" s="14">
        <f>EDATE($B$8,163)</f>
        <v/>
      </c>
      <c r="C185" s="15">
        <f>I184</f>
        <v/>
      </c>
      <c r="D185" s="15">
        <f>IF(C185&lt;=0,0,MIN($B$12,C185+E185))</f>
        <v/>
      </c>
      <c r="E185" s="15">
        <f>ROUND(C185*M185/1200,0)</f>
        <v/>
      </c>
      <c r="F185" s="15">
        <f>D185-E185</f>
        <v/>
      </c>
      <c r="G185" s="15">
        <f>IF(C185&lt;=0,0,MIN($B$9,C185-F185))</f>
        <v/>
      </c>
      <c r="H185" s="16" t="n"/>
      <c r="I185" s="15">
        <f>MAX(0,C185-F185-G185-MIN(N(H185),MAX(0,C185-F185-G185)))</f>
        <v/>
      </c>
      <c r="J185" s="17">
        <f>L184</f>
        <v/>
      </c>
      <c r="K185" s="17">
        <f>ROUND(J185*M185/1200,0)</f>
        <v/>
      </c>
      <c r="L185" s="17">
        <f>MAX(0,J185-(MIN($B$12,J185+K185)-K185))</f>
        <v/>
      </c>
      <c r="M185" s="18">
        <f>M184</f>
        <v/>
      </c>
    </row>
    <row r="186">
      <c r="A186" t="n">
        <v>165</v>
      </c>
      <c r="B186" s="14">
        <f>EDATE($B$8,164)</f>
        <v/>
      </c>
      <c r="C186" s="15">
        <f>I185</f>
        <v/>
      </c>
      <c r="D186" s="15">
        <f>IF(C186&lt;=0,0,MIN($B$12,C186+E186))</f>
        <v/>
      </c>
      <c r="E186" s="15">
        <f>ROUND(C186*M186/1200,0)</f>
        <v/>
      </c>
      <c r="F186" s="15">
        <f>D186-E186</f>
        <v/>
      </c>
      <c r="G186" s="15">
        <f>IF(C186&lt;=0,0,MIN($B$9,C186-F186))</f>
        <v/>
      </c>
      <c r="H186" s="16" t="n"/>
      <c r="I186" s="15">
        <f>MAX(0,C186-F186-G186-MIN(N(H186),MAX(0,C186-F186-G186)))</f>
        <v/>
      </c>
      <c r="J186" s="17">
        <f>L185</f>
        <v/>
      </c>
      <c r="K186" s="17">
        <f>ROUND(J186*M186/1200,0)</f>
        <v/>
      </c>
      <c r="L186" s="17">
        <f>MAX(0,J186-(MIN($B$12,J186+K186)-K186))</f>
        <v/>
      </c>
      <c r="M186" s="18">
        <f>M185</f>
        <v/>
      </c>
    </row>
    <row r="187">
      <c r="A187" t="n">
        <v>166</v>
      </c>
      <c r="B187" s="14">
        <f>EDATE($B$8,165)</f>
        <v/>
      </c>
      <c r="C187" s="15">
        <f>I186</f>
        <v/>
      </c>
      <c r="D187" s="15">
        <f>IF(C187&lt;=0,0,MIN($B$12,C187+E187))</f>
        <v/>
      </c>
      <c r="E187" s="15">
        <f>ROUND(C187*M187/1200,0)</f>
        <v/>
      </c>
      <c r="F187" s="15">
        <f>D187-E187</f>
        <v/>
      </c>
      <c r="G187" s="15">
        <f>IF(C187&lt;=0,0,MIN($B$9,C187-F187))</f>
        <v/>
      </c>
      <c r="H187" s="16" t="n"/>
      <c r="I187" s="15">
        <f>MAX(0,C187-F187-G187-MIN(N(H187),MAX(0,C187-F187-G187)))</f>
        <v/>
      </c>
      <c r="J187" s="17">
        <f>L186</f>
        <v/>
      </c>
      <c r="K187" s="17">
        <f>ROUND(J187*M187/1200,0)</f>
        <v/>
      </c>
      <c r="L187" s="17">
        <f>MAX(0,J187-(MIN($B$12,J187+K187)-K187))</f>
        <v/>
      </c>
      <c r="M187" s="18">
        <f>M186</f>
        <v/>
      </c>
    </row>
    <row r="188">
      <c r="A188" t="n">
        <v>167</v>
      </c>
      <c r="B188" s="14">
        <f>EDATE($B$8,166)</f>
        <v/>
      </c>
      <c r="C188" s="15">
        <f>I187</f>
        <v/>
      </c>
      <c r="D188" s="15">
        <f>IF(C188&lt;=0,0,MIN($B$12,C188+E188))</f>
        <v/>
      </c>
      <c r="E188" s="15">
        <f>ROUND(C188*M188/1200,0)</f>
        <v/>
      </c>
      <c r="F188" s="15">
        <f>D188-E188</f>
        <v/>
      </c>
      <c r="G188" s="15">
        <f>IF(C188&lt;=0,0,MIN($B$9,C188-F188))</f>
        <v/>
      </c>
      <c r="H188" s="16" t="n"/>
      <c r="I188" s="15">
        <f>MAX(0,C188-F188-G188-MIN(N(H188),MAX(0,C188-F188-G188)))</f>
        <v/>
      </c>
      <c r="J188" s="17">
        <f>L187</f>
        <v/>
      </c>
      <c r="K188" s="17">
        <f>ROUND(J188*M188/1200,0)</f>
        <v/>
      </c>
      <c r="L188" s="17">
        <f>MAX(0,J188-(MIN($B$12,J188+K188)-K188))</f>
        <v/>
      </c>
      <c r="M188" s="18">
        <f>M187</f>
        <v/>
      </c>
    </row>
    <row r="189">
      <c r="A189" t="n">
        <v>168</v>
      </c>
      <c r="B189" s="14">
        <f>EDATE($B$8,167)</f>
        <v/>
      </c>
      <c r="C189" s="15">
        <f>I188</f>
        <v/>
      </c>
      <c r="D189" s="15">
        <f>IF(C189&lt;=0,0,MIN($B$12,C189+E189))</f>
        <v/>
      </c>
      <c r="E189" s="15">
        <f>ROUND(C189*M189/1200,0)</f>
        <v/>
      </c>
      <c r="F189" s="15">
        <f>D189-E189</f>
        <v/>
      </c>
      <c r="G189" s="15">
        <f>IF(C189&lt;=0,0,MIN($B$9,C189-F189))</f>
        <v/>
      </c>
      <c r="H189" s="16" t="n"/>
      <c r="I189" s="15">
        <f>MAX(0,C189-F189-G189-MIN(N(H189),MAX(0,C189-F189-G189)))</f>
        <v/>
      </c>
      <c r="J189" s="17">
        <f>L188</f>
        <v/>
      </c>
      <c r="K189" s="17">
        <f>ROUND(J189*M189/1200,0)</f>
        <v/>
      </c>
      <c r="L189" s="17">
        <f>MAX(0,J189-(MIN($B$12,J189+K189)-K189))</f>
        <v/>
      </c>
      <c r="M189" s="18">
        <f>M188</f>
        <v/>
      </c>
    </row>
    <row r="190">
      <c r="A190" t="n">
        <v>169</v>
      </c>
      <c r="B190" s="14">
        <f>EDATE($B$8,168)</f>
        <v/>
      </c>
      <c r="C190" s="15">
        <f>I189</f>
        <v/>
      </c>
      <c r="D190" s="15">
        <f>IF(C190&lt;=0,0,MIN($B$12,C190+E190))</f>
        <v/>
      </c>
      <c r="E190" s="15">
        <f>ROUND(C190*M190/1200,0)</f>
        <v/>
      </c>
      <c r="F190" s="15">
        <f>D190-E190</f>
        <v/>
      </c>
      <c r="G190" s="15">
        <f>IF(C190&lt;=0,0,MIN($B$9,C190-F190))</f>
        <v/>
      </c>
      <c r="H190" s="16" t="n"/>
      <c r="I190" s="15">
        <f>MAX(0,C190-F190-G190-MIN(N(H190),MAX(0,C190-F190-G190)))</f>
        <v/>
      </c>
      <c r="J190" s="17">
        <f>L189</f>
        <v/>
      </c>
      <c r="K190" s="17">
        <f>ROUND(J190*M190/1200,0)</f>
        <v/>
      </c>
      <c r="L190" s="17">
        <f>MAX(0,J190-(MIN($B$12,J190+K190)-K190))</f>
        <v/>
      </c>
      <c r="M190" s="18">
        <f>M189</f>
        <v/>
      </c>
    </row>
    <row r="191">
      <c r="A191" t="n">
        <v>170</v>
      </c>
      <c r="B191" s="14">
        <f>EDATE($B$8,169)</f>
        <v/>
      </c>
      <c r="C191" s="15">
        <f>I190</f>
        <v/>
      </c>
      <c r="D191" s="15">
        <f>IF(C191&lt;=0,0,MIN($B$12,C191+E191))</f>
        <v/>
      </c>
      <c r="E191" s="15">
        <f>ROUND(C191*M191/1200,0)</f>
        <v/>
      </c>
      <c r="F191" s="15">
        <f>D191-E191</f>
        <v/>
      </c>
      <c r="G191" s="15">
        <f>IF(C191&lt;=0,0,MIN($B$9,C191-F191))</f>
        <v/>
      </c>
      <c r="H191" s="16" t="n"/>
      <c r="I191" s="15">
        <f>MAX(0,C191-F191-G191-MIN(N(H191),MAX(0,C191-F191-G191)))</f>
        <v/>
      </c>
      <c r="J191" s="17">
        <f>L190</f>
        <v/>
      </c>
      <c r="K191" s="17">
        <f>ROUND(J191*M191/1200,0)</f>
        <v/>
      </c>
      <c r="L191" s="17">
        <f>MAX(0,J191-(MIN($B$12,J191+K191)-K191))</f>
        <v/>
      </c>
      <c r="M191" s="18">
        <f>M190</f>
        <v/>
      </c>
    </row>
    <row r="192">
      <c r="A192" t="n">
        <v>171</v>
      </c>
      <c r="B192" s="14">
        <f>EDATE($B$8,170)</f>
        <v/>
      </c>
      <c r="C192" s="15">
        <f>I191</f>
        <v/>
      </c>
      <c r="D192" s="15">
        <f>IF(C192&lt;=0,0,MIN($B$12,C192+E192))</f>
        <v/>
      </c>
      <c r="E192" s="15">
        <f>ROUND(C192*M192/1200,0)</f>
        <v/>
      </c>
      <c r="F192" s="15">
        <f>D192-E192</f>
        <v/>
      </c>
      <c r="G192" s="15">
        <f>IF(C192&lt;=0,0,MIN($B$9,C192-F192))</f>
        <v/>
      </c>
      <c r="H192" s="16" t="n"/>
      <c r="I192" s="15">
        <f>MAX(0,C192-F192-G192-MIN(N(H192),MAX(0,C192-F192-G192)))</f>
        <v/>
      </c>
      <c r="J192" s="17">
        <f>L191</f>
        <v/>
      </c>
      <c r="K192" s="17">
        <f>ROUND(J192*M192/1200,0)</f>
        <v/>
      </c>
      <c r="L192" s="17">
        <f>MAX(0,J192-(MIN($B$12,J192+K192)-K192))</f>
        <v/>
      </c>
      <c r="M192" s="18">
        <f>M191</f>
        <v/>
      </c>
    </row>
    <row r="193">
      <c r="A193" t="n">
        <v>172</v>
      </c>
      <c r="B193" s="14">
        <f>EDATE($B$8,171)</f>
        <v/>
      </c>
      <c r="C193" s="15">
        <f>I192</f>
        <v/>
      </c>
      <c r="D193" s="15">
        <f>IF(C193&lt;=0,0,MIN($B$12,C193+E193))</f>
        <v/>
      </c>
      <c r="E193" s="15">
        <f>ROUND(C193*M193/1200,0)</f>
        <v/>
      </c>
      <c r="F193" s="15">
        <f>D193-E193</f>
        <v/>
      </c>
      <c r="G193" s="15">
        <f>IF(C193&lt;=0,0,MIN($B$9,C193-F193))</f>
        <v/>
      </c>
      <c r="H193" s="16" t="n"/>
      <c r="I193" s="15">
        <f>MAX(0,C193-F193-G193-MIN(N(H193),MAX(0,C193-F193-G193)))</f>
        <v/>
      </c>
      <c r="J193" s="17">
        <f>L192</f>
        <v/>
      </c>
      <c r="K193" s="17">
        <f>ROUND(J193*M193/1200,0)</f>
        <v/>
      </c>
      <c r="L193" s="17">
        <f>MAX(0,J193-(MIN($B$12,J193+K193)-K193))</f>
        <v/>
      </c>
      <c r="M193" s="18">
        <f>M192</f>
        <v/>
      </c>
    </row>
    <row r="194">
      <c r="A194" t="n">
        <v>173</v>
      </c>
      <c r="B194" s="14">
        <f>EDATE($B$8,172)</f>
        <v/>
      </c>
      <c r="C194" s="15">
        <f>I193</f>
        <v/>
      </c>
      <c r="D194" s="15">
        <f>IF(C194&lt;=0,0,MIN($B$12,C194+E194))</f>
        <v/>
      </c>
      <c r="E194" s="15">
        <f>ROUND(C194*M194/1200,0)</f>
        <v/>
      </c>
      <c r="F194" s="15">
        <f>D194-E194</f>
        <v/>
      </c>
      <c r="G194" s="15">
        <f>IF(C194&lt;=0,0,MIN($B$9,C194-F194))</f>
        <v/>
      </c>
      <c r="H194" s="16" t="n"/>
      <c r="I194" s="15">
        <f>MAX(0,C194-F194-G194-MIN(N(H194),MAX(0,C194-F194-G194)))</f>
        <v/>
      </c>
      <c r="J194" s="17">
        <f>L193</f>
        <v/>
      </c>
      <c r="K194" s="17">
        <f>ROUND(J194*M194/1200,0)</f>
        <v/>
      </c>
      <c r="L194" s="17">
        <f>MAX(0,J194-(MIN($B$12,J194+K194)-K194))</f>
        <v/>
      </c>
      <c r="M194" s="18">
        <f>M193</f>
        <v/>
      </c>
    </row>
    <row r="195">
      <c r="A195" t="n">
        <v>174</v>
      </c>
      <c r="B195" s="14">
        <f>EDATE($B$8,173)</f>
        <v/>
      </c>
      <c r="C195" s="15">
        <f>I194</f>
        <v/>
      </c>
      <c r="D195" s="15">
        <f>IF(C195&lt;=0,0,MIN($B$12,C195+E195))</f>
        <v/>
      </c>
      <c r="E195" s="15">
        <f>ROUND(C195*M195/1200,0)</f>
        <v/>
      </c>
      <c r="F195" s="15">
        <f>D195-E195</f>
        <v/>
      </c>
      <c r="G195" s="15">
        <f>IF(C195&lt;=0,0,MIN($B$9,C195-F195))</f>
        <v/>
      </c>
      <c r="H195" s="16" t="n"/>
      <c r="I195" s="15">
        <f>MAX(0,C195-F195-G195-MIN(N(H195),MAX(0,C195-F195-G195)))</f>
        <v/>
      </c>
      <c r="J195" s="17">
        <f>L194</f>
        <v/>
      </c>
      <c r="K195" s="17">
        <f>ROUND(J195*M195/1200,0)</f>
        <v/>
      </c>
      <c r="L195" s="17">
        <f>MAX(0,J195-(MIN($B$12,J195+K195)-K195))</f>
        <v/>
      </c>
      <c r="M195" s="18">
        <f>M194</f>
        <v/>
      </c>
    </row>
    <row r="196">
      <c r="A196" t="n">
        <v>175</v>
      </c>
      <c r="B196" s="14">
        <f>EDATE($B$8,174)</f>
        <v/>
      </c>
      <c r="C196" s="15">
        <f>I195</f>
        <v/>
      </c>
      <c r="D196" s="15">
        <f>IF(C196&lt;=0,0,MIN($B$12,C196+E196))</f>
        <v/>
      </c>
      <c r="E196" s="15">
        <f>ROUND(C196*M196/1200,0)</f>
        <v/>
      </c>
      <c r="F196" s="15">
        <f>D196-E196</f>
        <v/>
      </c>
      <c r="G196" s="15">
        <f>IF(C196&lt;=0,0,MIN($B$9,C196-F196))</f>
        <v/>
      </c>
      <c r="H196" s="16" t="n"/>
      <c r="I196" s="15">
        <f>MAX(0,C196-F196-G196-MIN(N(H196),MAX(0,C196-F196-G196)))</f>
        <v/>
      </c>
      <c r="J196" s="17">
        <f>L195</f>
        <v/>
      </c>
      <c r="K196" s="17">
        <f>ROUND(J196*M196/1200,0)</f>
        <v/>
      </c>
      <c r="L196" s="17">
        <f>MAX(0,J196-(MIN($B$12,J196+K196)-K196))</f>
        <v/>
      </c>
      <c r="M196" s="18">
        <f>M195</f>
        <v/>
      </c>
    </row>
    <row r="197">
      <c r="A197" t="n">
        <v>176</v>
      </c>
      <c r="B197" s="14">
        <f>EDATE($B$8,175)</f>
        <v/>
      </c>
      <c r="C197" s="15">
        <f>I196</f>
        <v/>
      </c>
      <c r="D197" s="15">
        <f>IF(C197&lt;=0,0,MIN($B$12,C197+E197))</f>
        <v/>
      </c>
      <c r="E197" s="15">
        <f>ROUND(C197*M197/1200,0)</f>
        <v/>
      </c>
      <c r="F197" s="15">
        <f>D197-E197</f>
        <v/>
      </c>
      <c r="G197" s="15">
        <f>IF(C197&lt;=0,0,MIN($B$9,C197-F197))</f>
        <v/>
      </c>
      <c r="H197" s="16" t="n"/>
      <c r="I197" s="15">
        <f>MAX(0,C197-F197-G197-MIN(N(H197),MAX(0,C197-F197-G197)))</f>
        <v/>
      </c>
      <c r="J197" s="17">
        <f>L196</f>
        <v/>
      </c>
      <c r="K197" s="17">
        <f>ROUND(J197*M197/1200,0)</f>
        <v/>
      </c>
      <c r="L197" s="17">
        <f>MAX(0,J197-(MIN($B$12,J197+K197)-K197))</f>
        <v/>
      </c>
      <c r="M197" s="18">
        <f>M196</f>
        <v/>
      </c>
    </row>
    <row r="198">
      <c r="A198" t="n">
        <v>177</v>
      </c>
      <c r="B198" s="14">
        <f>EDATE($B$8,176)</f>
        <v/>
      </c>
      <c r="C198" s="15">
        <f>I197</f>
        <v/>
      </c>
      <c r="D198" s="15">
        <f>IF(C198&lt;=0,0,MIN($B$12,C198+E198))</f>
        <v/>
      </c>
      <c r="E198" s="15">
        <f>ROUND(C198*M198/1200,0)</f>
        <v/>
      </c>
      <c r="F198" s="15">
        <f>D198-E198</f>
        <v/>
      </c>
      <c r="G198" s="15">
        <f>IF(C198&lt;=0,0,MIN($B$9,C198-F198))</f>
        <v/>
      </c>
      <c r="H198" s="16" t="n"/>
      <c r="I198" s="15">
        <f>MAX(0,C198-F198-G198-MIN(N(H198),MAX(0,C198-F198-G198)))</f>
        <v/>
      </c>
      <c r="J198" s="17">
        <f>L197</f>
        <v/>
      </c>
      <c r="K198" s="17">
        <f>ROUND(J198*M198/1200,0)</f>
        <v/>
      </c>
      <c r="L198" s="17">
        <f>MAX(0,J198-(MIN($B$12,J198+K198)-K198))</f>
        <v/>
      </c>
      <c r="M198" s="18">
        <f>M197</f>
        <v/>
      </c>
    </row>
    <row r="199">
      <c r="A199" t="n">
        <v>178</v>
      </c>
      <c r="B199" s="14">
        <f>EDATE($B$8,177)</f>
        <v/>
      </c>
      <c r="C199" s="15">
        <f>I198</f>
        <v/>
      </c>
      <c r="D199" s="15">
        <f>IF(C199&lt;=0,0,MIN($B$12,C199+E199))</f>
        <v/>
      </c>
      <c r="E199" s="15">
        <f>ROUND(C199*M199/1200,0)</f>
        <v/>
      </c>
      <c r="F199" s="15">
        <f>D199-E199</f>
        <v/>
      </c>
      <c r="G199" s="15">
        <f>IF(C199&lt;=0,0,MIN($B$9,C199-F199))</f>
        <v/>
      </c>
      <c r="H199" s="16" t="n"/>
      <c r="I199" s="15">
        <f>MAX(0,C199-F199-G199-MIN(N(H199),MAX(0,C199-F199-G199)))</f>
        <v/>
      </c>
      <c r="J199" s="17">
        <f>L198</f>
        <v/>
      </c>
      <c r="K199" s="17">
        <f>ROUND(J199*M199/1200,0)</f>
        <v/>
      </c>
      <c r="L199" s="17">
        <f>MAX(0,J199-(MIN($B$12,J199+K199)-K199))</f>
        <v/>
      </c>
      <c r="M199" s="18">
        <f>M198</f>
        <v/>
      </c>
    </row>
    <row r="200">
      <c r="A200" t="n">
        <v>179</v>
      </c>
      <c r="B200" s="14">
        <f>EDATE($B$8,178)</f>
        <v/>
      </c>
      <c r="C200" s="15">
        <f>I199</f>
        <v/>
      </c>
      <c r="D200" s="15">
        <f>IF(C200&lt;=0,0,MIN($B$12,C200+E200))</f>
        <v/>
      </c>
      <c r="E200" s="15">
        <f>ROUND(C200*M200/1200,0)</f>
        <v/>
      </c>
      <c r="F200" s="15">
        <f>D200-E200</f>
        <v/>
      </c>
      <c r="G200" s="15">
        <f>IF(C200&lt;=0,0,MIN($B$9,C200-F200))</f>
        <v/>
      </c>
      <c r="H200" s="16" t="n"/>
      <c r="I200" s="15">
        <f>MAX(0,C200-F200-G200-MIN(N(H200),MAX(0,C200-F200-G200)))</f>
        <v/>
      </c>
      <c r="J200" s="17">
        <f>L199</f>
        <v/>
      </c>
      <c r="K200" s="17">
        <f>ROUND(J200*M200/1200,0)</f>
        <v/>
      </c>
      <c r="L200" s="17">
        <f>MAX(0,J200-(MIN($B$12,J200+K200)-K200))</f>
        <v/>
      </c>
      <c r="M200" s="18">
        <f>M199</f>
        <v/>
      </c>
    </row>
    <row r="201">
      <c r="A201" t="n">
        <v>180</v>
      </c>
      <c r="B201" s="14">
        <f>EDATE($B$8,179)</f>
        <v/>
      </c>
      <c r="C201" s="15">
        <f>I200</f>
        <v/>
      </c>
      <c r="D201" s="15">
        <f>IF(C201&lt;=0,0,MIN($B$12,C201+E201))</f>
        <v/>
      </c>
      <c r="E201" s="15">
        <f>ROUND(C201*M201/1200,0)</f>
        <v/>
      </c>
      <c r="F201" s="15">
        <f>D201-E201</f>
        <v/>
      </c>
      <c r="G201" s="15">
        <f>IF(C201&lt;=0,0,MIN($B$9,C201-F201))</f>
        <v/>
      </c>
      <c r="H201" s="16" t="n"/>
      <c r="I201" s="15">
        <f>MAX(0,C201-F201-G201-MIN(N(H201),MAX(0,C201-F201-G201)))</f>
        <v/>
      </c>
      <c r="J201" s="17">
        <f>L200</f>
        <v/>
      </c>
      <c r="K201" s="17">
        <f>ROUND(J201*M201/1200,0)</f>
        <v/>
      </c>
      <c r="L201" s="17">
        <f>MAX(0,J201-(MIN($B$12,J201+K201)-K201))</f>
        <v/>
      </c>
      <c r="M201" s="18">
        <f>M200</f>
        <v/>
      </c>
    </row>
    <row r="202">
      <c r="A202" t="n">
        <v>181</v>
      </c>
      <c r="B202" s="14">
        <f>EDATE($B$8,180)</f>
        <v/>
      </c>
      <c r="C202" s="15">
        <f>I201</f>
        <v/>
      </c>
      <c r="D202" s="15">
        <f>IF(C202&lt;=0,0,MIN($B$12,C202+E202))</f>
        <v/>
      </c>
      <c r="E202" s="15">
        <f>ROUND(C202*M202/1200,0)</f>
        <v/>
      </c>
      <c r="F202" s="15">
        <f>D202-E202</f>
        <v/>
      </c>
      <c r="G202" s="15">
        <f>IF(C202&lt;=0,0,MIN($B$9,C202-F202))</f>
        <v/>
      </c>
      <c r="H202" s="16" t="n"/>
      <c r="I202" s="15">
        <f>MAX(0,C202-F202-G202-MIN(N(H202),MAX(0,C202-F202-G202)))</f>
        <v/>
      </c>
      <c r="J202" s="17">
        <f>L201</f>
        <v/>
      </c>
      <c r="K202" s="17">
        <f>ROUND(J202*M202/1200,0)</f>
        <v/>
      </c>
      <c r="L202" s="17">
        <f>MAX(0,J202-(MIN($B$12,J202+K202)-K202))</f>
        <v/>
      </c>
      <c r="M202" s="18">
        <f>M201</f>
        <v/>
      </c>
    </row>
    <row r="203">
      <c r="A203" t="n">
        <v>182</v>
      </c>
      <c r="B203" s="14">
        <f>EDATE($B$8,181)</f>
        <v/>
      </c>
      <c r="C203" s="15">
        <f>I202</f>
        <v/>
      </c>
      <c r="D203" s="15">
        <f>IF(C203&lt;=0,0,MIN($B$12,C203+E203))</f>
        <v/>
      </c>
      <c r="E203" s="15">
        <f>ROUND(C203*M203/1200,0)</f>
        <v/>
      </c>
      <c r="F203" s="15">
        <f>D203-E203</f>
        <v/>
      </c>
      <c r="G203" s="15">
        <f>IF(C203&lt;=0,0,MIN($B$9,C203-F203))</f>
        <v/>
      </c>
      <c r="H203" s="16" t="n"/>
      <c r="I203" s="15">
        <f>MAX(0,C203-F203-G203-MIN(N(H203),MAX(0,C203-F203-G203)))</f>
        <v/>
      </c>
      <c r="J203" s="17">
        <f>L202</f>
        <v/>
      </c>
      <c r="K203" s="17">
        <f>ROUND(J203*M203/1200,0)</f>
        <v/>
      </c>
      <c r="L203" s="17">
        <f>MAX(0,J203-(MIN($B$12,J203+K203)-K203))</f>
        <v/>
      </c>
      <c r="M203" s="18">
        <f>M202</f>
        <v/>
      </c>
    </row>
    <row r="204">
      <c r="A204" t="n">
        <v>183</v>
      </c>
      <c r="B204" s="14">
        <f>EDATE($B$8,182)</f>
        <v/>
      </c>
      <c r="C204" s="15">
        <f>I203</f>
        <v/>
      </c>
      <c r="D204" s="15">
        <f>IF(C204&lt;=0,0,MIN($B$12,C204+E204))</f>
        <v/>
      </c>
      <c r="E204" s="15">
        <f>ROUND(C204*M204/1200,0)</f>
        <v/>
      </c>
      <c r="F204" s="15">
        <f>D204-E204</f>
        <v/>
      </c>
      <c r="G204" s="15">
        <f>IF(C204&lt;=0,0,MIN($B$9,C204-F204))</f>
        <v/>
      </c>
      <c r="H204" s="16" t="n"/>
      <c r="I204" s="15">
        <f>MAX(0,C204-F204-G204-MIN(N(H204),MAX(0,C204-F204-G204)))</f>
        <v/>
      </c>
      <c r="J204" s="17">
        <f>L203</f>
        <v/>
      </c>
      <c r="K204" s="17">
        <f>ROUND(J204*M204/1200,0)</f>
        <v/>
      </c>
      <c r="L204" s="17">
        <f>MAX(0,J204-(MIN($B$12,J204+K204)-K204))</f>
        <v/>
      </c>
      <c r="M204" s="18">
        <f>M203</f>
        <v/>
      </c>
    </row>
    <row r="205">
      <c r="A205" t="n">
        <v>184</v>
      </c>
      <c r="B205" s="14">
        <f>EDATE($B$8,183)</f>
        <v/>
      </c>
      <c r="C205" s="15">
        <f>I204</f>
        <v/>
      </c>
      <c r="D205" s="15">
        <f>IF(C205&lt;=0,0,MIN($B$12,C205+E205))</f>
        <v/>
      </c>
      <c r="E205" s="15">
        <f>ROUND(C205*M205/1200,0)</f>
        <v/>
      </c>
      <c r="F205" s="15">
        <f>D205-E205</f>
        <v/>
      </c>
      <c r="G205" s="15">
        <f>IF(C205&lt;=0,0,MIN($B$9,C205-F205))</f>
        <v/>
      </c>
      <c r="H205" s="16" t="n"/>
      <c r="I205" s="15">
        <f>MAX(0,C205-F205-G205-MIN(N(H205),MAX(0,C205-F205-G205)))</f>
        <v/>
      </c>
      <c r="J205" s="17">
        <f>L204</f>
        <v/>
      </c>
      <c r="K205" s="17">
        <f>ROUND(J205*M205/1200,0)</f>
        <v/>
      </c>
      <c r="L205" s="17">
        <f>MAX(0,J205-(MIN($B$12,J205+K205)-K205))</f>
        <v/>
      </c>
      <c r="M205" s="18">
        <f>M204</f>
        <v/>
      </c>
    </row>
    <row r="206">
      <c r="A206" t="n">
        <v>185</v>
      </c>
      <c r="B206" s="14">
        <f>EDATE($B$8,184)</f>
        <v/>
      </c>
      <c r="C206" s="15">
        <f>I205</f>
        <v/>
      </c>
      <c r="D206" s="15">
        <f>IF(C206&lt;=0,0,MIN($B$12,C206+E206))</f>
        <v/>
      </c>
      <c r="E206" s="15">
        <f>ROUND(C206*M206/1200,0)</f>
        <v/>
      </c>
      <c r="F206" s="15">
        <f>D206-E206</f>
        <v/>
      </c>
      <c r="G206" s="15">
        <f>IF(C206&lt;=0,0,MIN($B$9,C206-F206))</f>
        <v/>
      </c>
      <c r="H206" s="16" t="n"/>
      <c r="I206" s="15">
        <f>MAX(0,C206-F206-G206-MIN(N(H206),MAX(0,C206-F206-G206)))</f>
        <v/>
      </c>
      <c r="J206" s="17">
        <f>L205</f>
        <v/>
      </c>
      <c r="K206" s="17">
        <f>ROUND(J206*M206/1200,0)</f>
        <v/>
      </c>
      <c r="L206" s="17">
        <f>MAX(0,J206-(MIN($B$12,J206+K206)-K206))</f>
        <v/>
      </c>
      <c r="M206" s="18">
        <f>M205</f>
        <v/>
      </c>
    </row>
    <row r="207">
      <c r="A207" t="n">
        <v>186</v>
      </c>
      <c r="B207" s="14">
        <f>EDATE($B$8,185)</f>
        <v/>
      </c>
      <c r="C207" s="15">
        <f>I206</f>
        <v/>
      </c>
      <c r="D207" s="15">
        <f>IF(C207&lt;=0,0,MIN($B$12,C207+E207))</f>
        <v/>
      </c>
      <c r="E207" s="15">
        <f>ROUND(C207*M207/1200,0)</f>
        <v/>
      </c>
      <c r="F207" s="15">
        <f>D207-E207</f>
        <v/>
      </c>
      <c r="G207" s="15">
        <f>IF(C207&lt;=0,0,MIN($B$9,C207-F207))</f>
        <v/>
      </c>
      <c r="H207" s="16" t="n"/>
      <c r="I207" s="15">
        <f>MAX(0,C207-F207-G207-MIN(N(H207),MAX(0,C207-F207-G207)))</f>
        <v/>
      </c>
      <c r="J207" s="17">
        <f>L206</f>
        <v/>
      </c>
      <c r="K207" s="17">
        <f>ROUND(J207*M207/1200,0)</f>
        <v/>
      </c>
      <c r="L207" s="17">
        <f>MAX(0,J207-(MIN($B$12,J207+K207)-K207))</f>
        <v/>
      </c>
      <c r="M207" s="18">
        <f>M206</f>
        <v/>
      </c>
    </row>
    <row r="208">
      <c r="A208" t="n">
        <v>187</v>
      </c>
      <c r="B208" s="14">
        <f>EDATE($B$8,186)</f>
        <v/>
      </c>
      <c r="C208" s="15">
        <f>I207</f>
        <v/>
      </c>
      <c r="D208" s="15">
        <f>IF(C208&lt;=0,0,MIN($B$12,C208+E208))</f>
        <v/>
      </c>
      <c r="E208" s="15">
        <f>ROUND(C208*M208/1200,0)</f>
        <v/>
      </c>
      <c r="F208" s="15">
        <f>D208-E208</f>
        <v/>
      </c>
      <c r="G208" s="15">
        <f>IF(C208&lt;=0,0,MIN($B$9,C208-F208))</f>
        <v/>
      </c>
      <c r="H208" s="16" t="n"/>
      <c r="I208" s="15">
        <f>MAX(0,C208-F208-G208-MIN(N(H208),MAX(0,C208-F208-G208)))</f>
        <v/>
      </c>
      <c r="J208" s="17">
        <f>L207</f>
        <v/>
      </c>
      <c r="K208" s="17">
        <f>ROUND(J208*M208/1200,0)</f>
        <v/>
      </c>
      <c r="L208" s="17">
        <f>MAX(0,J208-(MIN($B$12,J208+K208)-K208))</f>
        <v/>
      </c>
      <c r="M208" s="18">
        <f>M207</f>
        <v/>
      </c>
    </row>
    <row r="209">
      <c r="A209" t="n">
        <v>188</v>
      </c>
      <c r="B209" s="14">
        <f>EDATE($B$8,187)</f>
        <v/>
      </c>
      <c r="C209" s="15">
        <f>I208</f>
        <v/>
      </c>
      <c r="D209" s="15">
        <f>IF(C209&lt;=0,0,MIN($B$12,C209+E209))</f>
        <v/>
      </c>
      <c r="E209" s="15">
        <f>ROUND(C209*M209/1200,0)</f>
        <v/>
      </c>
      <c r="F209" s="15">
        <f>D209-E209</f>
        <v/>
      </c>
      <c r="G209" s="15">
        <f>IF(C209&lt;=0,0,MIN($B$9,C209-F209))</f>
        <v/>
      </c>
      <c r="H209" s="16" t="n"/>
      <c r="I209" s="15">
        <f>MAX(0,C209-F209-G209-MIN(N(H209),MAX(0,C209-F209-G209)))</f>
        <v/>
      </c>
      <c r="J209" s="17">
        <f>L208</f>
        <v/>
      </c>
      <c r="K209" s="17">
        <f>ROUND(J209*M209/1200,0)</f>
        <v/>
      </c>
      <c r="L209" s="17">
        <f>MAX(0,J209-(MIN($B$12,J209+K209)-K209))</f>
        <v/>
      </c>
      <c r="M209" s="18">
        <f>M208</f>
        <v/>
      </c>
    </row>
    <row r="210">
      <c r="A210" t="n">
        <v>189</v>
      </c>
      <c r="B210" s="14">
        <f>EDATE($B$8,188)</f>
        <v/>
      </c>
      <c r="C210" s="15">
        <f>I209</f>
        <v/>
      </c>
      <c r="D210" s="15">
        <f>IF(C210&lt;=0,0,MIN($B$12,C210+E210))</f>
        <v/>
      </c>
      <c r="E210" s="15">
        <f>ROUND(C210*M210/1200,0)</f>
        <v/>
      </c>
      <c r="F210" s="15">
        <f>D210-E210</f>
        <v/>
      </c>
      <c r="G210" s="15">
        <f>IF(C210&lt;=0,0,MIN($B$9,C210-F210))</f>
        <v/>
      </c>
      <c r="H210" s="16" t="n"/>
      <c r="I210" s="15">
        <f>MAX(0,C210-F210-G210-MIN(N(H210),MAX(0,C210-F210-G210)))</f>
        <v/>
      </c>
      <c r="J210" s="17">
        <f>L209</f>
        <v/>
      </c>
      <c r="K210" s="17">
        <f>ROUND(J210*M210/1200,0)</f>
        <v/>
      </c>
      <c r="L210" s="17">
        <f>MAX(0,J210-(MIN($B$12,J210+K210)-K210))</f>
        <v/>
      </c>
      <c r="M210" s="18">
        <f>M209</f>
        <v/>
      </c>
    </row>
    <row r="211">
      <c r="A211" t="n">
        <v>190</v>
      </c>
      <c r="B211" s="14">
        <f>EDATE($B$8,189)</f>
        <v/>
      </c>
      <c r="C211" s="15">
        <f>I210</f>
        <v/>
      </c>
      <c r="D211" s="15">
        <f>IF(C211&lt;=0,0,MIN($B$12,C211+E211))</f>
        <v/>
      </c>
      <c r="E211" s="15">
        <f>ROUND(C211*M211/1200,0)</f>
        <v/>
      </c>
      <c r="F211" s="15">
        <f>D211-E211</f>
        <v/>
      </c>
      <c r="G211" s="15">
        <f>IF(C211&lt;=0,0,MIN($B$9,C211-F211))</f>
        <v/>
      </c>
      <c r="H211" s="16" t="n"/>
      <c r="I211" s="15">
        <f>MAX(0,C211-F211-G211-MIN(N(H211),MAX(0,C211-F211-G211)))</f>
        <v/>
      </c>
      <c r="J211" s="17">
        <f>L210</f>
        <v/>
      </c>
      <c r="K211" s="17">
        <f>ROUND(J211*M211/1200,0)</f>
        <v/>
      </c>
      <c r="L211" s="17">
        <f>MAX(0,J211-(MIN($B$12,J211+K211)-K211))</f>
        <v/>
      </c>
      <c r="M211" s="18">
        <f>M210</f>
        <v/>
      </c>
    </row>
    <row r="212">
      <c r="A212" t="n">
        <v>191</v>
      </c>
      <c r="B212" s="14">
        <f>EDATE($B$8,190)</f>
        <v/>
      </c>
      <c r="C212" s="15">
        <f>I211</f>
        <v/>
      </c>
      <c r="D212" s="15">
        <f>IF(C212&lt;=0,0,MIN($B$12,C212+E212))</f>
        <v/>
      </c>
      <c r="E212" s="15">
        <f>ROUND(C212*M212/1200,0)</f>
        <v/>
      </c>
      <c r="F212" s="15">
        <f>D212-E212</f>
        <v/>
      </c>
      <c r="G212" s="15">
        <f>IF(C212&lt;=0,0,MIN($B$9,C212-F212))</f>
        <v/>
      </c>
      <c r="H212" s="16" t="n"/>
      <c r="I212" s="15">
        <f>MAX(0,C212-F212-G212-MIN(N(H212),MAX(0,C212-F212-G212)))</f>
        <v/>
      </c>
      <c r="J212" s="17">
        <f>L211</f>
        <v/>
      </c>
      <c r="K212" s="17">
        <f>ROUND(J212*M212/1200,0)</f>
        <v/>
      </c>
      <c r="L212" s="17">
        <f>MAX(0,J212-(MIN($B$12,J212+K212)-K212))</f>
        <v/>
      </c>
      <c r="M212" s="18">
        <f>M211</f>
        <v/>
      </c>
    </row>
    <row r="213">
      <c r="A213" t="n">
        <v>192</v>
      </c>
      <c r="B213" s="14">
        <f>EDATE($B$8,191)</f>
        <v/>
      </c>
      <c r="C213" s="15">
        <f>I212</f>
        <v/>
      </c>
      <c r="D213" s="15">
        <f>IF(C213&lt;=0,0,MIN($B$12,C213+E213))</f>
        <v/>
      </c>
      <c r="E213" s="15">
        <f>ROUND(C213*M213/1200,0)</f>
        <v/>
      </c>
      <c r="F213" s="15">
        <f>D213-E213</f>
        <v/>
      </c>
      <c r="G213" s="15">
        <f>IF(C213&lt;=0,0,MIN($B$9,C213-F213))</f>
        <v/>
      </c>
      <c r="H213" s="16" t="n"/>
      <c r="I213" s="15">
        <f>MAX(0,C213-F213-G213-MIN(N(H213),MAX(0,C213-F213-G213)))</f>
        <v/>
      </c>
      <c r="J213" s="17">
        <f>L212</f>
        <v/>
      </c>
      <c r="K213" s="17">
        <f>ROUND(J213*M213/1200,0)</f>
        <v/>
      </c>
      <c r="L213" s="17">
        <f>MAX(0,J213-(MIN($B$12,J213+K213)-K213))</f>
        <v/>
      </c>
      <c r="M213" s="18">
        <f>M212</f>
        <v/>
      </c>
    </row>
    <row r="214">
      <c r="A214" t="n">
        <v>193</v>
      </c>
      <c r="B214" s="14">
        <f>EDATE($B$8,192)</f>
        <v/>
      </c>
      <c r="C214" s="15">
        <f>I213</f>
        <v/>
      </c>
      <c r="D214" s="15">
        <f>IF(C214&lt;=0,0,MIN($B$12,C214+E214))</f>
        <v/>
      </c>
      <c r="E214" s="15">
        <f>ROUND(C214*M214/1200,0)</f>
        <v/>
      </c>
      <c r="F214" s="15">
        <f>D214-E214</f>
        <v/>
      </c>
      <c r="G214" s="15">
        <f>IF(C214&lt;=0,0,MIN($B$9,C214-F214))</f>
        <v/>
      </c>
      <c r="H214" s="16" t="n"/>
      <c r="I214" s="15">
        <f>MAX(0,C214-F214-G214-MIN(N(H214),MAX(0,C214-F214-G214)))</f>
        <v/>
      </c>
      <c r="J214" s="17">
        <f>L213</f>
        <v/>
      </c>
      <c r="K214" s="17">
        <f>ROUND(J214*M214/1200,0)</f>
        <v/>
      </c>
      <c r="L214" s="17">
        <f>MAX(0,J214-(MIN($B$12,J214+K214)-K214))</f>
        <v/>
      </c>
      <c r="M214" s="18">
        <f>M213</f>
        <v/>
      </c>
    </row>
    <row r="215">
      <c r="A215" t="n">
        <v>194</v>
      </c>
      <c r="B215" s="14">
        <f>EDATE($B$8,193)</f>
        <v/>
      </c>
      <c r="C215" s="15">
        <f>I214</f>
        <v/>
      </c>
      <c r="D215" s="15">
        <f>IF(C215&lt;=0,0,MIN($B$12,C215+E215))</f>
        <v/>
      </c>
      <c r="E215" s="15">
        <f>ROUND(C215*M215/1200,0)</f>
        <v/>
      </c>
      <c r="F215" s="15">
        <f>D215-E215</f>
        <v/>
      </c>
      <c r="G215" s="15">
        <f>IF(C215&lt;=0,0,MIN($B$9,C215-F215))</f>
        <v/>
      </c>
      <c r="H215" s="16" t="n"/>
      <c r="I215" s="15">
        <f>MAX(0,C215-F215-G215-MIN(N(H215),MAX(0,C215-F215-G215)))</f>
        <v/>
      </c>
      <c r="J215" s="17">
        <f>L214</f>
        <v/>
      </c>
      <c r="K215" s="17">
        <f>ROUND(J215*M215/1200,0)</f>
        <v/>
      </c>
      <c r="L215" s="17">
        <f>MAX(0,J215-(MIN($B$12,J215+K215)-K215))</f>
        <v/>
      </c>
      <c r="M215" s="18">
        <f>M214</f>
        <v/>
      </c>
    </row>
    <row r="216">
      <c r="A216" t="n">
        <v>195</v>
      </c>
      <c r="B216" s="14">
        <f>EDATE($B$8,194)</f>
        <v/>
      </c>
      <c r="C216" s="15">
        <f>I215</f>
        <v/>
      </c>
      <c r="D216" s="15">
        <f>IF(C216&lt;=0,0,MIN($B$12,C216+E216))</f>
        <v/>
      </c>
      <c r="E216" s="15">
        <f>ROUND(C216*M216/1200,0)</f>
        <v/>
      </c>
      <c r="F216" s="15">
        <f>D216-E216</f>
        <v/>
      </c>
      <c r="G216" s="15">
        <f>IF(C216&lt;=0,0,MIN($B$9,C216-F216))</f>
        <v/>
      </c>
      <c r="H216" s="16" t="n"/>
      <c r="I216" s="15">
        <f>MAX(0,C216-F216-G216-MIN(N(H216),MAX(0,C216-F216-G216)))</f>
        <v/>
      </c>
      <c r="J216" s="17">
        <f>L215</f>
        <v/>
      </c>
      <c r="K216" s="17">
        <f>ROUND(J216*M216/1200,0)</f>
        <v/>
      </c>
      <c r="L216" s="17">
        <f>MAX(0,J216-(MIN($B$12,J216+K216)-K216))</f>
        <v/>
      </c>
      <c r="M216" s="18">
        <f>M215</f>
        <v/>
      </c>
    </row>
    <row r="217">
      <c r="A217" t="n">
        <v>196</v>
      </c>
      <c r="B217" s="14">
        <f>EDATE($B$8,195)</f>
        <v/>
      </c>
      <c r="C217" s="15">
        <f>I216</f>
        <v/>
      </c>
      <c r="D217" s="15">
        <f>IF(C217&lt;=0,0,MIN($B$12,C217+E217))</f>
        <v/>
      </c>
      <c r="E217" s="15">
        <f>ROUND(C217*M217/1200,0)</f>
        <v/>
      </c>
      <c r="F217" s="15">
        <f>D217-E217</f>
        <v/>
      </c>
      <c r="G217" s="15">
        <f>IF(C217&lt;=0,0,MIN($B$9,C217-F217))</f>
        <v/>
      </c>
      <c r="H217" s="16" t="n"/>
      <c r="I217" s="15">
        <f>MAX(0,C217-F217-G217-MIN(N(H217),MAX(0,C217-F217-G217)))</f>
        <v/>
      </c>
      <c r="J217" s="17">
        <f>L216</f>
        <v/>
      </c>
      <c r="K217" s="17">
        <f>ROUND(J217*M217/1200,0)</f>
        <v/>
      </c>
      <c r="L217" s="17">
        <f>MAX(0,J217-(MIN($B$12,J217+K217)-K217))</f>
        <v/>
      </c>
      <c r="M217" s="18">
        <f>M216</f>
        <v/>
      </c>
    </row>
    <row r="218">
      <c r="A218" t="n">
        <v>197</v>
      </c>
      <c r="B218" s="14">
        <f>EDATE($B$8,196)</f>
        <v/>
      </c>
      <c r="C218" s="15">
        <f>I217</f>
        <v/>
      </c>
      <c r="D218" s="15">
        <f>IF(C218&lt;=0,0,MIN($B$12,C218+E218))</f>
        <v/>
      </c>
      <c r="E218" s="15">
        <f>ROUND(C218*M218/1200,0)</f>
        <v/>
      </c>
      <c r="F218" s="15">
        <f>D218-E218</f>
        <v/>
      </c>
      <c r="G218" s="15">
        <f>IF(C218&lt;=0,0,MIN($B$9,C218-F218))</f>
        <v/>
      </c>
      <c r="H218" s="16" t="n"/>
      <c r="I218" s="15">
        <f>MAX(0,C218-F218-G218-MIN(N(H218),MAX(0,C218-F218-G218)))</f>
        <v/>
      </c>
      <c r="J218" s="17">
        <f>L217</f>
        <v/>
      </c>
      <c r="K218" s="17">
        <f>ROUND(J218*M218/1200,0)</f>
        <v/>
      </c>
      <c r="L218" s="17">
        <f>MAX(0,J218-(MIN($B$12,J218+K218)-K218))</f>
        <v/>
      </c>
      <c r="M218" s="18">
        <f>M217</f>
        <v/>
      </c>
    </row>
    <row r="219">
      <c r="A219" t="n">
        <v>198</v>
      </c>
      <c r="B219" s="14">
        <f>EDATE($B$8,197)</f>
        <v/>
      </c>
      <c r="C219" s="15">
        <f>I218</f>
        <v/>
      </c>
      <c r="D219" s="15">
        <f>IF(C219&lt;=0,0,MIN($B$12,C219+E219))</f>
        <v/>
      </c>
      <c r="E219" s="15">
        <f>ROUND(C219*M219/1200,0)</f>
        <v/>
      </c>
      <c r="F219" s="15">
        <f>D219-E219</f>
        <v/>
      </c>
      <c r="G219" s="15">
        <f>IF(C219&lt;=0,0,MIN($B$9,C219-F219))</f>
        <v/>
      </c>
      <c r="H219" s="16" t="n"/>
      <c r="I219" s="15">
        <f>MAX(0,C219-F219-G219-MIN(N(H219),MAX(0,C219-F219-G219)))</f>
        <v/>
      </c>
      <c r="J219" s="17">
        <f>L218</f>
        <v/>
      </c>
      <c r="K219" s="17">
        <f>ROUND(J219*M219/1200,0)</f>
        <v/>
      </c>
      <c r="L219" s="17">
        <f>MAX(0,J219-(MIN($B$12,J219+K219)-K219))</f>
        <v/>
      </c>
      <c r="M219" s="18">
        <f>M218</f>
        <v/>
      </c>
    </row>
    <row r="220">
      <c r="A220" t="n">
        <v>199</v>
      </c>
      <c r="B220" s="14">
        <f>EDATE($B$8,198)</f>
        <v/>
      </c>
      <c r="C220" s="15">
        <f>I219</f>
        <v/>
      </c>
      <c r="D220" s="15">
        <f>IF(C220&lt;=0,0,MIN($B$12,C220+E220))</f>
        <v/>
      </c>
      <c r="E220" s="15">
        <f>ROUND(C220*M220/1200,0)</f>
        <v/>
      </c>
      <c r="F220" s="15">
        <f>D220-E220</f>
        <v/>
      </c>
      <c r="G220" s="15">
        <f>IF(C220&lt;=0,0,MIN($B$9,C220-F220))</f>
        <v/>
      </c>
      <c r="H220" s="16" t="n"/>
      <c r="I220" s="15">
        <f>MAX(0,C220-F220-G220-MIN(N(H220),MAX(0,C220-F220-G220)))</f>
        <v/>
      </c>
      <c r="J220" s="17">
        <f>L219</f>
        <v/>
      </c>
      <c r="K220" s="17">
        <f>ROUND(J220*M220/1200,0)</f>
        <v/>
      </c>
      <c r="L220" s="17">
        <f>MAX(0,J220-(MIN($B$12,J220+K220)-K220))</f>
        <v/>
      </c>
      <c r="M220" s="18">
        <f>M219</f>
        <v/>
      </c>
    </row>
    <row r="221">
      <c r="A221" t="n">
        <v>200</v>
      </c>
      <c r="B221" s="14">
        <f>EDATE($B$8,199)</f>
        <v/>
      </c>
      <c r="C221" s="15">
        <f>I220</f>
        <v/>
      </c>
      <c r="D221" s="15">
        <f>IF(C221&lt;=0,0,MIN($B$12,C221+E221))</f>
        <v/>
      </c>
      <c r="E221" s="15">
        <f>ROUND(C221*M221/1200,0)</f>
        <v/>
      </c>
      <c r="F221" s="15">
        <f>D221-E221</f>
        <v/>
      </c>
      <c r="G221" s="15">
        <f>IF(C221&lt;=0,0,MIN($B$9,C221-F221))</f>
        <v/>
      </c>
      <c r="H221" s="16" t="n"/>
      <c r="I221" s="15">
        <f>MAX(0,C221-F221-G221-MIN(N(H221),MAX(0,C221-F221-G221)))</f>
        <v/>
      </c>
      <c r="J221" s="17">
        <f>L220</f>
        <v/>
      </c>
      <c r="K221" s="17">
        <f>ROUND(J221*M221/1200,0)</f>
        <v/>
      </c>
      <c r="L221" s="17">
        <f>MAX(0,J221-(MIN($B$12,J221+K221)-K221))</f>
        <v/>
      </c>
      <c r="M221" s="18">
        <f>M220</f>
        <v/>
      </c>
    </row>
    <row r="222">
      <c r="A222" t="n">
        <v>201</v>
      </c>
      <c r="B222" s="14">
        <f>EDATE($B$8,200)</f>
        <v/>
      </c>
      <c r="C222" s="15">
        <f>I221</f>
        <v/>
      </c>
      <c r="D222" s="15">
        <f>IF(C222&lt;=0,0,MIN($B$12,C222+E222))</f>
        <v/>
      </c>
      <c r="E222" s="15">
        <f>ROUND(C222*M222/1200,0)</f>
        <v/>
      </c>
      <c r="F222" s="15">
        <f>D222-E222</f>
        <v/>
      </c>
      <c r="G222" s="15">
        <f>IF(C222&lt;=0,0,MIN($B$9,C222-F222))</f>
        <v/>
      </c>
      <c r="H222" s="16" t="n"/>
      <c r="I222" s="15">
        <f>MAX(0,C222-F222-G222-MIN(N(H222),MAX(0,C222-F222-G222)))</f>
        <v/>
      </c>
      <c r="J222" s="17">
        <f>L221</f>
        <v/>
      </c>
      <c r="K222" s="17">
        <f>ROUND(J222*M222/1200,0)</f>
        <v/>
      </c>
      <c r="L222" s="17">
        <f>MAX(0,J222-(MIN($B$12,J222+K222)-K222))</f>
        <v/>
      </c>
      <c r="M222" s="18">
        <f>M221</f>
        <v/>
      </c>
    </row>
    <row r="223">
      <c r="A223" t="n">
        <v>202</v>
      </c>
      <c r="B223" s="14">
        <f>EDATE($B$8,201)</f>
        <v/>
      </c>
      <c r="C223" s="15">
        <f>I222</f>
        <v/>
      </c>
      <c r="D223" s="15">
        <f>IF(C223&lt;=0,0,MIN($B$12,C223+E223))</f>
        <v/>
      </c>
      <c r="E223" s="15">
        <f>ROUND(C223*M223/1200,0)</f>
        <v/>
      </c>
      <c r="F223" s="15">
        <f>D223-E223</f>
        <v/>
      </c>
      <c r="G223" s="15">
        <f>IF(C223&lt;=0,0,MIN($B$9,C223-F223))</f>
        <v/>
      </c>
      <c r="H223" s="16" t="n"/>
      <c r="I223" s="15">
        <f>MAX(0,C223-F223-G223-MIN(N(H223),MAX(0,C223-F223-G223)))</f>
        <v/>
      </c>
      <c r="J223" s="17">
        <f>L222</f>
        <v/>
      </c>
      <c r="K223" s="17">
        <f>ROUND(J223*M223/1200,0)</f>
        <v/>
      </c>
      <c r="L223" s="17">
        <f>MAX(0,J223-(MIN($B$12,J223+K223)-K223))</f>
        <v/>
      </c>
      <c r="M223" s="18">
        <f>M222</f>
        <v/>
      </c>
    </row>
    <row r="224">
      <c r="A224" t="n">
        <v>203</v>
      </c>
      <c r="B224" s="14">
        <f>EDATE($B$8,202)</f>
        <v/>
      </c>
      <c r="C224" s="15">
        <f>I223</f>
        <v/>
      </c>
      <c r="D224" s="15">
        <f>IF(C224&lt;=0,0,MIN($B$12,C224+E224))</f>
        <v/>
      </c>
      <c r="E224" s="15">
        <f>ROUND(C224*M224/1200,0)</f>
        <v/>
      </c>
      <c r="F224" s="15">
        <f>D224-E224</f>
        <v/>
      </c>
      <c r="G224" s="15">
        <f>IF(C224&lt;=0,0,MIN($B$9,C224-F224))</f>
        <v/>
      </c>
      <c r="H224" s="16" t="n"/>
      <c r="I224" s="15">
        <f>MAX(0,C224-F224-G224-MIN(N(H224),MAX(0,C224-F224-G224)))</f>
        <v/>
      </c>
      <c r="J224" s="17">
        <f>L223</f>
        <v/>
      </c>
      <c r="K224" s="17">
        <f>ROUND(J224*M224/1200,0)</f>
        <v/>
      </c>
      <c r="L224" s="17">
        <f>MAX(0,J224-(MIN($B$12,J224+K224)-K224))</f>
        <v/>
      </c>
      <c r="M224" s="18">
        <f>M223</f>
        <v/>
      </c>
    </row>
    <row r="225">
      <c r="A225" t="n">
        <v>204</v>
      </c>
      <c r="B225" s="14">
        <f>EDATE($B$8,203)</f>
        <v/>
      </c>
      <c r="C225" s="15">
        <f>I224</f>
        <v/>
      </c>
      <c r="D225" s="15">
        <f>IF(C225&lt;=0,0,MIN($B$12,C225+E225))</f>
        <v/>
      </c>
      <c r="E225" s="15">
        <f>ROUND(C225*M225/1200,0)</f>
        <v/>
      </c>
      <c r="F225" s="15">
        <f>D225-E225</f>
        <v/>
      </c>
      <c r="G225" s="15">
        <f>IF(C225&lt;=0,0,MIN($B$9,C225-F225))</f>
        <v/>
      </c>
      <c r="H225" s="16" t="n"/>
      <c r="I225" s="15">
        <f>MAX(0,C225-F225-G225-MIN(N(H225),MAX(0,C225-F225-G225)))</f>
        <v/>
      </c>
      <c r="J225" s="17">
        <f>L224</f>
        <v/>
      </c>
      <c r="K225" s="17">
        <f>ROUND(J225*M225/1200,0)</f>
        <v/>
      </c>
      <c r="L225" s="17">
        <f>MAX(0,J225-(MIN($B$12,J225+K225)-K225))</f>
        <v/>
      </c>
      <c r="M225" s="18">
        <f>M224</f>
        <v/>
      </c>
    </row>
    <row r="226">
      <c r="A226" t="n">
        <v>205</v>
      </c>
      <c r="B226" s="14">
        <f>EDATE($B$8,204)</f>
        <v/>
      </c>
      <c r="C226" s="15">
        <f>I225</f>
        <v/>
      </c>
      <c r="D226" s="15">
        <f>IF(C226&lt;=0,0,MIN($B$12,C226+E226))</f>
        <v/>
      </c>
      <c r="E226" s="15">
        <f>ROUND(C226*M226/1200,0)</f>
        <v/>
      </c>
      <c r="F226" s="15">
        <f>D226-E226</f>
        <v/>
      </c>
      <c r="G226" s="15">
        <f>IF(C226&lt;=0,0,MIN($B$9,C226-F226))</f>
        <v/>
      </c>
      <c r="H226" s="16" t="n"/>
      <c r="I226" s="15">
        <f>MAX(0,C226-F226-G226-MIN(N(H226),MAX(0,C226-F226-G226)))</f>
        <v/>
      </c>
      <c r="J226" s="17">
        <f>L225</f>
        <v/>
      </c>
      <c r="K226" s="17">
        <f>ROUND(J226*M226/1200,0)</f>
        <v/>
      </c>
      <c r="L226" s="17">
        <f>MAX(0,J226-(MIN($B$12,J226+K226)-K226))</f>
        <v/>
      </c>
      <c r="M226" s="18">
        <f>M225</f>
        <v/>
      </c>
    </row>
    <row r="227">
      <c r="A227" t="n">
        <v>206</v>
      </c>
      <c r="B227" s="14">
        <f>EDATE($B$8,205)</f>
        <v/>
      </c>
      <c r="C227" s="15">
        <f>I226</f>
        <v/>
      </c>
      <c r="D227" s="15">
        <f>IF(C227&lt;=0,0,MIN($B$12,C227+E227))</f>
        <v/>
      </c>
      <c r="E227" s="15">
        <f>ROUND(C227*M227/1200,0)</f>
        <v/>
      </c>
      <c r="F227" s="15">
        <f>D227-E227</f>
        <v/>
      </c>
      <c r="G227" s="15">
        <f>IF(C227&lt;=0,0,MIN($B$9,C227-F227))</f>
        <v/>
      </c>
      <c r="H227" s="16" t="n"/>
      <c r="I227" s="15">
        <f>MAX(0,C227-F227-G227-MIN(N(H227),MAX(0,C227-F227-G227)))</f>
        <v/>
      </c>
      <c r="J227" s="17">
        <f>L226</f>
        <v/>
      </c>
      <c r="K227" s="17">
        <f>ROUND(J227*M227/1200,0)</f>
        <v/>
      </c>
      <c r="L227" s="17">
        <f>MAX(0,J227-(MIN($B$12,J227+K227)-K227))</f>
        <v/>
      </c>
      <c r="M227" s="18">
        <f>M226</f>
        <v/>
      </c>
    </row>
    <row r="228">
      <c r="A228" t="n">
        <v>207</v>
      </c>
      <c r="B228" s="14">
        <f>EDATE($B$8,206)</f>
        <v/>
      </c>
      <c r="C228" s="15">
        <f>I227</f>
        <v/>
      </c>
      <c r="D228" s="15">
        <f>IF(C228&lt;=0,0,MIN($B$12,C228+E228))</f>
        <v/>
      </c>
      <c r="E228" s="15">
        <f>ROUND(C228*M228/1200,0)</f>
        <v/>
      </c>
      <c r="F228" s="15">
        <f>D228-E228</f>
        <v/>
      </c>
      <c r="G228" s="15">
        <f>IF(C228&lt;=0,0,MIN($B$9,C228-F228))</f>
        <v/>
      </c>
      <c r="H228" s="16" t="n"/>
      <c r="I228" s="15">
        <f>MAX(0,C228-F228-G228-MIN(N(H228),MAX(0,C228-F228-G228)))</f>
        <v/>
      </c>
      <c r="J228" s="17">
        <f>L227</f>
        <v/>
      </c>
      <c r="K228" s="17">
        <f>ROUND(J228*M228/1200,0)</f>
        <v/>
      </c>
      <c r="L228" s="17">
        <f>MAX(0,J228-(MIN($B$12,J228+K228)-K228))</f>
        <v/>
      </c>
      <c r="M228" s="18">
        <f>M227</f>
        <v/>
      </c>
    </row>
    <row r="229">
      <c r="A229" t="n">
        <v>208</v>
      </c>
      <c r="B229" s="14">
        <f>EDATE($B$8,207)</f>
        <v/>
      </c>
      <c r="C229" s="15">
        <f>I228</f>
        <v/>
      </c>
      <c r="D229" s="15">
        <f>IF(C229&lt;=0,0,MIN($B$12,C229+E229))</f>
        <v/>
      </c>
      <c r="E229" s="15">
        <f>ROUND(C229*M229/1200,0)</f>
        <v/>
      </c>
      <c r="F229" s="15">
        <f>D229-E229</f>
        <v/>
      </c>
      <c r="G229" s="15">
        <f>IF(C229&lt;=0,0,MIN($B$9,C229-F229))</f>
        <v/>
      </c>
      <c r="H229" s="16" t="n"/>
      <c r="I229" s="15">
        <f>MAX(0,C229-F229-G229-MIN(N(H229),MAX(0,C229-F229-G229)))</f>
        <v/>
      </c>
      <c r="J229" s="17">
        <f>L228</f>
        <v/>
      </c>
      <c r="K229" s="17">
        <f>ROUND(J229*M229/1200,0)</f>
        <v/>
      </c>
      <c r="L229" s="17">
        <f>MAX(0,J229-(MIN($B$12,J229+K229)-K229))</f>
        <v/>
      </c>
      <c r="M229" s="18">
        <f>M228</f>
        <v/>
      </c>
    </row>
    <row r="230">
      <c r="A230" t="n">
        <v>209</v>
      </c>
      <c r="B230" s="14">
        <f>EDATE($B$8,208)</f>
        <v/>
      </c>
      <c r="C230" s="15">
        <f>I229</f>
        <v/>
      </c>
      <c r="D230" s="15">
        <f>IF(C230&lt;=0,0,MIN($B$12,C230+E230))</f>
        <v/>
      </c>
      <c r="E230" s="15">
        <f>ROUND(C230*M230/1200,0)</f>
        <v/>
      </c>
      <c r="F230" s="15">
        <f>D230-E230</f>
        <v/>
      </c>
      <c r="G230" s="15">
        <f>IF(C230&lt;=0,0,MIN($B$9,C230-F230))</f>
        <v/>
      </c>
      <c r="H230" s="16" t="n"/>
      <c r="I230" s="15">
        <f>MAX(0,C230-F230-G230-MIN(N(H230),MAX(0,C230-F230-G230)))</f>
        <v/>
      </c>
      <c r="J230" s="17">
        <f>L229</f>
        <v/>
      </c>
      <c r="K230" s="17">
        <f>ROUND(J230*M230/1200,0)</f>
        <v/>
      </c>
      <c r="L230" s="17">
        <f>MAX(0,J230-(MIN($B$12,J230+K230)-K230))</f>
        <v/>
      </c>
      <c r="M230" s="18">
        <f>M229</f>
        <v/>
      </c>
    </row>
    <row r="231">
      <c r="A231" t="n">
        <v>210</v>
      </c>
      <c r="B231" s="14">
        <f>EDATE($B$8,209)</f>
        <v/>
      </c>
      <c r="C231" s="15">
        <f>I230</f>
        <v/>
      </c>
      <c r="D231" s="15">
        <f>IF(C231&lt;=0,0,MIN($B$12,C231+E231))</f>
        <v/>
      </c>
      <c r="E231" s="15">
        <f>ROUND(C231*M231/1200,0)</f>
        <v/>
      </c>
      <c r="F231" s="15">
        <f>D231-E231</f>
        <v/>
      </c>
      <c r="G231" s="15">
        <f>IF(C231&lt;=0,0,MIN($B$9,C231-F231))</f>
        <v/>
      </c>
      <c r="H231" s="16" t="n"/>
      <c r="I231" s="15">
        <f>MAX(0,C231-F231-G231-MIN(N(H231),MAX(0,C231-F231-G231)))</f>
        <v/>
      </c>
      <c r="J231" s="17">
        <f>L230</f>
        <v/>
      </c>
      <c r="K231" s="17">
        <f>ROUND(J231*M231/1200,0)</f>
        <v/>
      </c>
      <c r="L231" s="17">
        <f>MAX(0,J231-(MIN($B$12,J231+K231)-K231))</f>
        <v/>
      </c>
      <c r="M231" s="18">
        <f>M230</f>
        <v/>
      </c>
    </row>
    <row r="232">
      <c r="A232" t="n">
        <v>211</v>
      </c>
      <c r="B232" s="14">
        <f>EDATE($B$8,210)</f>
        <v/>
      </c>
      <c r="C232" s="15">
        <f>I231</f>
        <v/>
      </c>
      <c r="D232" s="15">
        <f>IF(C232&lt;=0,0,MIN($B$12,C232+E232))</f>
        <v/>
      </c>
      <c r="E232" s="15">
        <f>ROUND(C232*M232/1200,0)</f>
        <v/>
      </c>
      <c r="F232" s="15">
        <f>D232-E232</f>
        <v/>
      </c>
      <c r="G232" s="15">
        <f>IF(C232&lt;=0,0,MIN($B$9,C232-F232))</f>
        <v/>
      </c>
      <c r="H232" s="16" t="n"/>
      <c r="I232" s="15">
        <f>MAX(0,C232-F232-G232-MIN(N(H232),MAX(0,C232-F232-G232)))</f>
        <v/>
      </c>
      <c r="J232" s="17">
        <f>L231</f>
        <v/>
      </c>
      <c r="K232" s="17">
        <f>ROUND(J232*M232/1200,0)</f>
        <v/>
      </c>
      <c r="L232" s="17">
        <f>MAX(0,J232-(MIN($B$12,J232+K232)-K232))</f>
        <v/>
      </c>
      <c r="M232" s="18">
        <f>M231</f>
        <v/>
      </c>
    </row>
    <row r="233">
      <c r="A233" t="n">
        <v>212</v>
      </c>
      <c r="B233" s="14">
        <f>EDATE($B$8,211)</f>
        <v/>
      </c>
      <c r="C233" s="15">
        <f>I232</f>
        <v/>
      </c>
      <c r="D233" s="15">
        <f>IF(C233&lt;=0,0,MIN($B$12,C233+E233))</f>
        <v/>
      </c>
      <c r="E233" s="15">
        <f>ROUND(C233*M233/1200,0)</f>
        <v/>
      </c>
      <c r="F233" s="15">
        <f>D233-E233</f>
        <v/>
      </c>
      <c r="G233" s="15">
        <f>IF(C233&lt;=0,0,MIN($B$9,C233-F233))</f>
        <v/>
      </c>
      <c r="H233" s="16" t="n"/>
      <c r="I233" s="15">
        <f>MAX(0,C233-F233-G233-MIN(N(H233),MAX(0,C233-F233-G233)))</f>
        <v/>
      </c>
      <c r="J233" s="17">
        <f>L232</f>
        <v/>
      </c>
      <c r="K233" s="17">
        <f>ROUND(J233*M233/1200,0)</f>
        <v/>
      </c>
      <c r="L233" s="17">
        <f>MAX(0,J233-(MIN($B$12,J233+K233)-K233))</f>
        <v/>
      </c>
      <c r="M233" s="18">
        <f>M232</f>
        <v/>
      </c>
    </row>
    <row r="234">
      <c r="A234" t="n">
        <v>213</v>
      </c>
      <c r="B234" s="14">
        <f>EDATE($B$8,212)</f>
        <v/>
      </c>
      <c r="C234" s="15">
        <f>I233</f>
        <v/>
      </c>
      <c r="D234" s="15">
        <f>IF(C234&lt;=0,0,MIN($B$12,C234+E234))</f>
        <v/>
      </c>
      <c r="E234" s="15">
        <f>ROUND(C234*M234/1200,0)</f>
        <v/>
      </c>
      <c r="F234" s="15">
        <f>D234-E234</f>
        <v/>
      </c>
      <c r="G234" s="15">
        <f>IF(C234&lt;=0,0,MIN($B$9,C234-F234))</f>
        <v/>
      </c>
      <c r="H234" s="16" t="n"/>
      <c r="I234" s="15">
        <f>MAX(0,C234-F234-G234-MIN(N(H234),MAX(0,C234-F234-G234)))</f>
        <v/>
      </c>
      <c r="J234" s="17">
        <f>L233</f>
        <v/>
      </c>
      <c r="K234" s="17">
        <f>ROUND(J234*M234/1200,0)</f>
        <v/>
      </c>
      <c r="L234" s="17">
        <f>MAX(0,J234-(MIN($B$12,J234+K234)-K234))</f>
        <v/>
      </c>
      <c r="M234" s="18">
        <f>M233</f>
        <v/>
      </c>
    </row>
    <row r="235">
      <c r="A235" t="n">
        <v>214</v>
      </c>
      <c r="B235" s="14">
        <f>EDATE($B$8,213)</f>
        <v/>
      </c>
      <c r="C235" s="15">
        <f>I234</f>
        <v/>
      </c>
      <c r="D235" s="15">
        <f>IF(C235&lt;=0,0,MIN($B$12,C235+E235))</f>
        <v/>
      </c>
      <c r="E235" s="15">
        <f>ROUND(C235*M235/1200,0)</f>
        <v/>
      </c>
      <c r="F235" s="15">
        <f>D235-E235</f>
        <v/>
      </c>
      <c r="G235" s="15">
        <f>IF(C235&lt;=0,0,MIN($B$9,C235-F235))</f>
        <v/>
      </c>
      <c r="H235" s="16" t="n"/>
      <c r="I235" s="15">
        <f>MAX(0,C235-F235-G235-MIN(N(H235),MAX(0,C235-F235-G235)))</f>
        <v/>
      </c>
      <c r="J235" s="17">
        <f>L234</f>
        <v/>
      </c>
      <c r="K235" s="17">
        <f>ROUND(J235*M235/1200,0)</f>
        <v/>
      </c>
      <c r="L235" s="17">
        <f>MAX(0,J235-(MIN($B$12,J235+K235)-K235))</f>
        <v/>
      </c>
      <c r="M235" s="18">
        <f>M234</f>
        <v/>
      </c>
    </row>
    <row r="236">
      <c r="A236" t="n">
        <v>215</v>
      </c>
      <c r="B236" s="14">
        <f>EDATE($B$8,214)</f>
        <v/>
      </c>
      <c r="C236" s="15">
        <f>I235</f>
        <v/>
      </c>
      <c r="D236" s="15">
        <f>IF(C236&lt;=0,0,MIN($B$12,C236+E236))</f>
        <v/>
      </c>
      <c r="E236" s="15">
        <f>ROUND(C236*M236/1200,0)</f>
        <v/>
      </c>
      <c r="F236" s="15">
        <f>D236-E236</f>
        <v/>
      </c>
      <c r="G236" s="15">
        <f>IF(C236&lt;=0,0,MIN($B$9,C236-F236))</f>
        <v/>
      </c>
      <c r="H236" s="16" t="n"/>
      <c r="I236" s="15">
        <f>MAX(0,C236-F236-G236-MIN(N(H236),MAX(0,C236-F236-G236)))</f>
        <v/>
      </c>
      <c r="J236" s="17">
        <f>L235</f>
        <v/>
      </c>
      <c r="K236" s="17">
        <f>ROUND(J236*M236/1200,0)</f>
        <v/>
      </c>
      <c r="L236" s="17">
        <f>MAX(0,J236-(MIN($B$12,J236+K236)-K236))</f>
        <v/>
      </c>
      <c r="M236" s="18">
        <f>M235</f>
        <v/>
      </c>
    </row>
    <row r="237">
      <c r="A237" t="n">
        <v>216</v>
      </c>
      <c r="B237" s="14">
        <f>EDATE($B$8,215)</f>
        <v/>
      </c>
      <c r="C237" s="15">
        <f>I236</f>
        <v/>
      </c>
      <c r="D237" s="15">
        <f>IF(C237&lt;=0,0,MIN($B$12,C237+E237))</f>
        <v/>
      </c>
      <c r="E237" s="15">
        <f>ROUND(C237*M237/1200,0)</f>
        <v/>
      </c>
      <c r="F237" s="15">
        <f>D237-E237</f>
        <v/>
      </c>
      <c r="G237" s="15">
        <f>IF(C237&lt;=0,0,MIN($B$9,C237-F237))</f>
        <v/>
      </c>
      <c r="H237" s="16" t="n"/>
      <c r="I237" s="15">
        <f>MAX(0,C237-F237-G237-MIN(N(H237),MAX(0,C237-F237-G237)))</f>
        <v/>
      </c>
      <c r="J237" s="17">
        <f>L236</f>
        <v/>
      </c>
      <c r="K237" s="17">
        <f>ROUND(J237*M237/1200,0)</f>
        <v/>
      </c>
      <c r="L237" s="17">
        <f>MAX(0,J237-(MIN($B$12,J237+K237)-K237))</f>
        <v/>
      </c>
      <c r="M237" s="18">
        <f>M236</f>
        <v/>
      </c>
    </row>
    <row r="238">
      <c r="A238" t="n">
        <v>217</v>
      </c>
      <c r="B238" s="14">
        <f>EDATE($B$8,216)</f>
        <v/>
      </c>
      <c r="C238" s="15">
        <f>I237</f>
        <v/>
      </c>
      <c r="D238" s="15">
        <f>IF(C238&lt;=0,0,MIN($B$12,C238+E238))</f>
        <v/>
      </c>
      <c r="E238" s="15">
        <f>ROUND(C238*M238/1200,0)</f>
        <v/>
      </c>
      <c r="F238" s="15">
        <f>D238-E238</f>
        <v/>
      </c>
      <c r="G238" s="15">
        <f>IF(C238&lt;=0,0,MIN($B$9,C238-F238))</f>
        <v/>
      </c>
      <c r="H238" s="16" t="n"/>
      <c r="I238" s="15">
        <f>MAX(0,C238-F238-G238-MIN(N(H238),MAX(0,C238-F238-G238)))</f>
        <v/>
      </c>
      <c r="J238" s="17">
        <f>L237</f>
        <v/>
      </c>
      <c r="K238" s="17">
        <f>ROUND(J238*M238/1200,0)</f>
        <v/>
      </c>
      <c r="L238" s="17">
        <f>MAX(0,J238-(MIN($B$12,J238+K238)-K238))</f>
        <v/>
      </c>
      <c r="M238" s="18">
        <f>M237</f>
        <v/>
      </c>
    </row>
    <row r="239">
      <c r="A239" t="n">
        <v>218</v>
      </c>
      <c r="B239" s="14">
        <f>EDATE($B$8,217)</f>
        <v/>
      </c>
      <c r="C239" s="15">
        <f>I238</f>
        <v/>
      </c>
      <c r="D239" s="15">
        <f>IF(C239&lt;=0,0,MIN($B$12,C239+E239))</f>
        <v/>
      </c>
      <c r="E239" s="15">
        <f>ROUND(C239*M239/1200,0)</f>
        <v/>
      </c>
      <c r="F239" s="15">
        <f>D239-E239</f>
        <v/>
      </c>
      <c r="G239" s="15">
        <f>IF(C239&lt;=0,0,MIN($B$9,C239-F239))</f>
        <v/>
      </c>
      <c r="H239" s="16" t="n"/>
      <c r="I239" s="15">
        <f>MAX(0,C239-F239-G239-MIN(N(H239),MAX(0,C239-F239-G239)))</f>
        <v/>
      </c>
      <c r="J239" s="17">
        <f>L238</f>
        <v/>
      </c>
      <c r="K239" s="17">
        <f>ROUND(J239*M239/1200,0)</f>
        <v/>
      </c>
      <c r="L239" s="17">
        <f>MAX(0,J239-(MIN($B$12,J239+K239)-K239))</f>
        <v/>
      </c>
      <c r="M239" s="18">
        <f>M238</f>
        <v/>
      </c>
    </row>
    <row r="240">
      <c r="A240" t="n">
        <v>219</v>
      </c>
      <c r="B240" s="14">
        <f>EDATE($B$8,218)</f>
        <v/>
      </c>
      <c r="C240" s="15">
        <f>I239</f>
        <v/>
      </c>
      <c r="D240" s="15">
        <f>IF(C240&lt;=0,0,MIN($B$12,C240+E240))</f>
        <v/>
      </c>
      <c r="E240" s="15">
        <f>ROUND(C240*M240/1200,0)</f>
        <v/>
      </c>
      <c r="F240" s="15">
        <f>D240-E240</f>
        <v/>
      </c>
      <c r="G240" s="15">
        <f>IF(C240&lt;=0,0,MIN($B$9,C240-F240))</f>
        <v/>
      </c>
      <c r="H240" s="16" t="n"/>
      <c r="I240" s="15">
        <f>MAX(0,C240-F240-G240-MIN(N(H240),MAX(0,C240-F240-G240)))</f>
        <v/>
      </c>
      <c r="J240" s="17">
        <f>L239</f>
        <v/>
      </c>
      <c r="K240" s="17">
        <f>ROUND(J240*M240/1200,0)</f>
        <v/>
      </c>
      <c r="L240" s="17">
        <f>MAX(0,J240-(MIN($B$12,J240+K240)-K240))</f>
        <v/>
      </c>
      <c r="M240" s="18">
        <f>M239</f>
        <v/>
      </c>
    </row>
    <row r="241">
      <c r="A241" t="n">
        <v>220</v>
      </c>
      <c r="B241" s="14">
        <f>EDATE($B$8,219)</f>
        <v/>
      </c>
      <c r="C241" s="15">
        <f>I240</f>
        <v/>
      </c>
      <c r="D241" s="15">
        <f>IF(C241&lt;=0,0,MIN($B$12,C241+E241))</f>
        <v/>
      </c>
      <c r="E241" s="15">
        <f>ROUND(C241*M241/1200,0)</f>
        <v/>
      </c>
      <c r="F241" s="15">
        <f>D241-E241</f>
        <v/>
      </c>
      <c r="G241" s="15">
        <f>IF(C241&lt;=0,0,MIN($B$9,C241-F241))</f>
        <v/>
      </c>
      <c r="H241" s="16" t="n"/>
      <c r="I241" s="15">
        <f>MAX(0,C241-F241-G241-MIN(N(H241),MAX(0,C241-F241-G241)))</f>
        <v/>
      </c>
      <c r="J241" s="17">
        <f>L240</f>
        <v/>
      </c>
      <c r="K241" s="17">
        <f>ROUND(J241*M241/1200,0)</f>
        <v/>
      </c>
      <c r="L241" s="17">
        <f>MAX(0,J241-(MIN($B$12,J241+K241)-K241))</f>
        <v/>
      </c>
      <c r="M241" s="18">
        <f>M240</f>
        <v/>
      </c>
    </row>
    <row r="242">
      <c r="A242" t="n">
        <v>221</v>
      </c>
      <c r="B242" s="14">
        <f>EDATE($B$8,220)</f>
        <v/>
      </c>
      <c r="C242" s="15">
        <f>I241</f>
        <v/>
      </c>
      <c r="D242" s="15">
        <f>IF(C242&lt;=0,0,MIN($B$12,C242+E242))</f>
        <v/>
      </c>
      <c r="E242" s="15">
        <f>ROUND(C242*M242/1200,0)</f>
        <v/>
      </c>
      <c r="F242" s="15">
        <f>D242-E242</f>
        <v/>
      </c>
      <c r="G242" s="15">
        <f>IF(C242&lt;=0,0,MIN($B$9,C242-F242))</f>
        <v/>
      </c>
      <c r="H242" s="16" t="n"/>
      <c r="I242" s="15">
        <f>MAX(0,C242-F242-G242-MIN(N(H242),MAX(0,C242-F242-G242)))</f>
        <v/>
      </c>
      <c r="J242" s="17">
        <f>L241</f>
        <v/>
      </c>
      <c r="K242" s="17">
        <f>ROUND(J242*M242/1200,0)</f>
        <v/>
      </c>
      <c r="L242" s="17">
        <f>MAX(0,J242-(MIN($B$12,J242+K242)-K242))</f>
        <v/>
      </c>
      <c r="M242" s="18">
        <f>M241</f>
        <v/>
      </c>
    </row>
    <row r="243">
      <c r="A243" t="n">
        <v>222</v>
      </c>
      <c r="B243" s="14">
        <f>EDATE($B$8,221)</f>
        <v/>
      </c>
      <c r="C243" s="15">
        <f>I242</f>
        <v/>
      </c>
      <c r="D243" s="15">
        <f>IF(C243&lt;=0,0,MIN($B$12,C243+E243))</f>
        <v/>
      </c>
      <c r="E243" s="15">
        <f>ROUND(C243*M243/1200,0)</f>
        <v/>
      </c>
      <c r="F243" s="15">
        <f>D243-E243</f>
        <v/>
      </c>
      <c r="G243" s="15">
        <f>IF(C243&lt;=0,0,MIN($B$9,C243-F243))</f>
        <v/>
      </c>
      <c r="H243" s="16" t="n"/>
      <c r="I243" s="15">
        <f>MAX(0,C243-F243-G243-MIN(N(H243),MAX(0,C243-F243-G243)))</f>
        <v/>
      </c>
      <c r="J243" s="17">
        <f>L242</f>
        <v/>
      </c>
      <c r="K243" s="17">
        <f>ROUND(J243*M243/1200,0)</f>
        <v/>
      </c>
      <c r="L243" s="17">
        <f>MAX(0,J243-(MIN($B$12,J243+K243)-K243))</f>
        <v/>
      </c>
      <c r="M243" s="18">
        <f>M242</f>
        <v/>
      </c>
    </row>
    <row r="244">
      <c r="A244" t="n">
        <v>223</v>
      </c>
      <c r="B244" s="14">
        <f>EDATE($B$8,222)</f>
        <v/>
      </c>
      <c r="C244" s="15">
        <f>I243</f>
        <v/>
      </c>
      <c r="D244" s="15">
        <f>IF(C244&lt;=0,0,MIN($B$12,C244+E244))</f>
        <v/>
      </c>
      <c r="E244" s="15">
        <f>ROUND(C244*M244/1200,0)</f>
        <v/>
      </c>
      <c r="F244" s="15">
        <f>D244-E244</f>
        <v/>
      </c>
      <c r="G244" s="15">
        <f>IF(C244&lt;=0,0,MIN($B$9,C244-F244))</f>
        <v/>
      </c>
      <c r="H244" s="16" t="n"/>
      <c r="I244" s="15">
        <f>MAX(0,C244-F244-G244-MIN(N(H244),MAX(0,C244-F244-G244)))</f>
        <v/>
      </c>
      <c r="J244" s="17">
        <f>L243</f>
        <v/>
      </c>
      <c r="K244" s="17">
        <f>ROUND(J244*M244/1200,0)</f>
        <v/>
      </c>
      <c r="L244" s="17">
        <f>MAX(0,J244-(MIN($B$12,J244+K244)-K244))</f>
        <v/>
      </c>
      <c r="M244" s="18">
        <f>M243</f>
        <v/>
      </c>
    </row>
    <row r="245">
      <c r="A245" t="n">
        <v>224</v>
      </c>
      <c r="B245" s="14">
        <f>EDATE($B$8,223)</f>
        <v/>
      </c>
      <c r="C245" s="15">
        <f>I244</f>
        <v/>
      </c>
      <c r="D245" s="15">
        <f>IF(C245&lt;=0,0,MIN($B$12,C245+E245))</f>
        <v/>
      </c>
      <c r="E245" s="15">
        <f>ROUND(C245*M245/1200,0)</f>
        <v/>
      </c>
      <c r="F245" s="15">
        <f>D245-E245</f>
        <v/>
      </c>
      <c r="G245" s="15">
        <f>IF(C245&lt;=0,0,MIN($B$9,C245-F245))</f>
        <v/>
      </c>
      <c r="H245" s="16" t="n"/>
      <c r="I245" s="15">
        <f>MAX(0,C245-F245-G245-MIN(N(H245),MAX(0,C245-F245-G245)))</f>
        <v/>
      </c>
      <c r="J245" s="17">
        <f>L244</f>
        <v/>
      </c>
      <c r="K245" s="17">
        <f>ROUND(J245*M245/1200,0)</f>
        <v/>
      </c>
      <c r="L245" s="17">
        <f>MAX(0,J245-(MIN($B$12,J245+K245)-K245))</f>
        <v/>
      </c>
      <c r="M245" s="18">
        <f>M244</f>
        <v/>
      </c>
    </row>
    <row r="246">
      <c r="A246" t="n">
        <v>225</v>
      </c>
      <c r="B246" s="14">
        <f>EDATE($B$8,224)</f>
        <v/>
      </c>
      <c r="C246" s="15">
        <f>I245</f>
        <v/>
      </c>
      <c r="D246" s="15">
        <f>IF(C246&lt;=0,0,MIN($B$12,C246+E246))</f>
        <v/>
      </c>
      <c r="E246" s="15">
        <f>ROUND(C246*M246/1200,0)</f>
        <v/>
      </c>
      <c r="F246" s="15">
        <f>D246-E246</f>
        <v/>
      </c>
      <c r="G246" s="15">
        <f>IF(C246&lt;=0,0,MIN($B$9,C246-F246))</f>
        <v/>
      </c>
      <c r="H246" s="16" t="n"/>
      <c r="I246" s="15">
        <f>MAX(0,C246-F246-G246-MIN(N(H246),MAX(0,C246-F246-G246)))</f>
        <v/>
      </c>
      <c r="J246" s="17">
        <f>L245</f>
        <v/>
      </c>
      <c r="K246" s="17">
        <f>ROUND(J246*M246/1200,0)</f>
        <v/>
      </c>
      <c r="L246" s="17">
        <f>MAX(0,J246-(MIN($B$12,J246+K246)-K246))</f>
        <v/>
      </c>
      <c r="M246" s="18">
        <f>M245</f>
        <v/>
      </c>
    </row>
    <row r="247">
      <c r="A247" t="n">
        <v>226</v>
      </c>
      <c r="B247" s="14">
        <f>EDATE($B$8,225)</f>
        <v/>
      </c>
      <c r="C247" s="15">
        <f>I246</f>
        <v/>
      </c>
      <c r="D247" s="15">
        <f>IF(C247&lt;=0,0,MIN($B$12,C247+E247))</f>
        <v/>
      </c>
      <c r="E247" s="15">
        <f>ROUND(C247*M247/1200,0)</f>
        <v/>
      </c>
      <c r="F247" s="15">
        <f>D247-E247</f>
        <v/>
      </c>
      <c r="G247" s="15">
        <f>IF(C247&lt;=0,0,MIN($B$9,C247-F247))</f>
        <v/>
      </c>
      <c r="H247" s="16" t="n"/>
      <c r="I247" s="15">
        <f>MAX(0,C247-F247-G247-MIN(N(H247),MAX(0,C247-F247-G247)))</f>
        <v/>
      </c>
      <c r="J247" s="17">
        <f>L246</f>
        <v/>
      </c>
      <c r="K247" s="17">
        <f>ROUND(J247*M247/1200,0)</f>
        <v/>
      </c>
      <c r="L247" s="17">
        <f>MAX(0,J247-(MIN($B$12,J247+K247)-K247))</f>
        <v/>
      </c>
      <c r="M247" s="18">
        <f>M246</f>
        <v/>
      </c>
    </row>
    <row r="248">
      <c r="A248" t="n">
        <v>227</v>
      </c>
      <c r="B248" s="14">
        <f>EDATE($B$8,226)</f>
        <v/>
      </c>
      <c r="C248" s="15">
        <f>I247</f>
        <v/>
      </c>
      <c r="D248" s="15">
        <f>IF(C248&lt;=0,0,MIN($B$12,C248+E248))</f>
        <v/>
      </c>
      <c r="E248" s="15">
        <f>ROUND(C248*M248/1200,0)</f>
        <v/>
      </c>
      <c r="F248" s="15">
        <f>D248-E248</f>
        <v/>
      </c>
      <c r="G248" s="15">
        <f>IF(C248&lt;=0,0,MIN($B$9,C248-F248))</f>
        <v/>
      </c>
      <c r="H248" s="16" t="n"/>
      <c r="I248" s="15">
        <f>MAX(0,C248-F248-G248-MIN(N(H248),MAX(0,C248-F248-G248)))</f>
        <v/>
      </c>
      <c r="J248" s="17">
        <f>L247</f>
        <v/>
      </c>
      <c r="K248" s="17">
        <f>ROUND(J248*M248/1200,0)</f>
        <v/>
      </c>
      <c r="L248" s="17">
        <f>MAX(0,J248-(MIN($B$12,J248+K248)-K248))</f>
        <v/>
      </c>
      <c r="M248" s="18">
        <f>M247</f>
        <v/>
      </c>
    </row>
    <row r="249">
      <c r="A249" t="n">
        <v>228</v>
      </c>
      <c r="B249" s="14">
        <f>EDATE($B$8,227)</f>
        <v/>
      </c>
      <c r="C249" s="15">
        <f>I248</f>
        <v/>
      </c>
      <c r="D249" s="15">
        <f>IF(C249&lt;=0,0,MIN($B$12,C249+E249))</f>
        <v/>
      </c>
      <c r="E249" s="15">
        <f>ROUND(C249*M249/1200,0)</f>
        <v/>
      </c>
      <c r="F249" s="15">
        <f>D249-E249</f>
        <v/>
      </c>
      <c r="G249" s="15">
        <f>IF(C249&lt;=0,0,MIN($B$9,C249-F249))</f>
        <v/>
      </c>
      <c r="H249" s="16" t="n"/>
      <c r="I249" s="15">
        <f>MAX(0,C249-F249-G249-MIN(N(H249),MAX(0,C249-F249-G249)))</f>
        <v/>
      </c>
      <c r="J249" s="17">
        <f>L248</f>
        <v/>
      </c>
      <c r="K249" s="17">
        <f>ROUND(J249*M249/1200,0)</f>
        <v/>
      </c>
      <c r="L249" s="17">
        <f>MAX(0,J249-(MIN($B$12,J249+K249)-K249))</f>
        <v/>
      </c>
      <c r="M249" s="18">
        <f>M248</f>
        <v/>
      </c>
    </row>
    <row r="250">
      <c r="A250" t="n">
        <v>229</v>
      </c>
      <c r="B250" s="14">
        <f>EDATE($B$8,228)</f>
        <v/>
      </c>
      <c r="C250" s="15">
        <f>I249</f>
        <v/>
      </c>
      <c r="D250" s="15">
        <f>IF(C250&lt;=0,0,MIN($B$12,C250+E250))</f>
        <v/>
      </c>
      <c r="E250" s="15">
        <f>ROUND(C250*M250/1200,0)</f>
        <v/>
      </c>
      <c r="F250" s="15">
        <f>D250-E250</f>
        <v/>
      </c>
      <c r="G250" s="15">
        <f>IF(C250&lt;=0,0,MIN($B$9,C250-F250))</f>
        <v/>
      </c>
      <c r="H250" s="16" t="n"/>
      <c r="I250" s="15">
        <f>MAX(0,C250-F250-G250-MIN(N(H250),MAX(0,C250-F250-G250)))</f>
        <v/>
      </c>
      <c r="J250" s="17">
        <f>L249</f>
        <v/>
      </c>
      <c r="K250" s="17">
        <f>ROUND(J250*M250/1200,0)</f>
        <v/>
      </c>
      <c r="L250" s="17">
        <f>MAX(0,J250-(MIN($B$12,J250+K250)-K250))</f>
        <v/>
      </c>
      <c r="M250" s="18">
        <f>M249</f>
        <v/>
      </c>
    </row>
    <row r="251">
      <c r="A251" t="n">
        <v>230</v>
      </c>
      <c r="B251" s="14">
        <f>EDATE($B$8,229)</f>
        <v/>
      </c>
      <c r="C251" s="15">
        <f>I250</f>
        <v/>
      </c>
      <c r="D251" s="15">
        <f>IF(C251&lt;=0,0,MIN($B$12,C251+E251))</f>
        <v/>
      </c>
      <c r="E251" s="15">
        <f>ROUND(C251*M251/1200,0)</f>
        <v/>
      </c>
      <c r="F251" s="15">
        <f>D251-E251</f>
        <v/>
      </c>
      <c r="G251" s="15">
        <f>IF(C251&lt;=0,0,MIN($B$9,C251-F251))</f>
        <v/>
      </c>
      <c r="H251" s="16" t="n"/>
      <c r="I251" s="15">
        <f>MAX(0,C251-F251-G251-MIN(N(H251),MAX(0,C251-F251-G251)))</f>
        <v/>
      </c>
      <c r="J251" s="17">
        <f>L250</f>
        <v/>
      </c>
      <c r="K251" s="17">
        <f>ROUND(J251*M251/1200,0)</f>
        <v/>
      </c>
      <c r="L251" s="17">
        <f>MAX(0,J251-(MIN($B$12,J251+K251)-K251))</f>
        <v/>
      </c>
      <c r="M251" s="18">
        <f>M250</f>
        <v/>
      </c>
    </row>
    <row r="252">
      <c r="A252" t="n">
        <v>231</v>
      </c>
      <c r="B252" s="14">
        <f>EDATE($B$8,230)</f>
        <v/>
      </c>
      <c r="C252" s="15">
        <f>I251</f>
        <v/>
      </c>
      <c r="D252" s="15">
        <f>IF(C252&lt;=0,0,MIN($B$12,C252+E252))</f>
        <v/>
      </c>
      <c r="E252" s="15">
        <f>ROUND(C252*M252/1200,0)</f>
        <v/>
      </c>
      <c r="F252" s="15">
        <f>D252-E252</f>
        <v/>
      </c>
      <c r="G252" s="15">
        <f>IF(C252&lt;=0,0,MIN($B$9,C252-F252))</f>
        <v/>
      </c>
      <c r="H252" s="16" t="n"/>
      <c r="I252" s="15">
        <f>MAX(0,C252-F252-G252-MIN(N(H252),MAX(0,C252-F252-G252)))</f>
        <v/>
      </c>
      <c r="J252" s="17">
        <f>L251</f>
        <v/>
      </c>
      <c r="K252" s="17">
        <f>ROUND(J252*M252/1200,0)</f>
        <v/>
      </c>
      <c r="L252" s="17">
        <f>MAX(0,J252-(MIN($B$12,J252+K252)-K252))</f>
        <v/>
      </c>
      <c r="M252" s="18">
        <f>M251</f>
        <v/>
      </c>
    </row>
    <row r="253">
      <c r="A253" t="n">
        <v>232</v>
      </c>
      <c r="B253" s="14">
        <f>EDATE($B$8,231)</f>
        <v/>
      </c>
      <c r="C253" s="15">
        <f>I252</f>
        <v/>
      </c>
      <c r="D253" s="15">
        <f>IF(C253&lt;=0,0,MIN($B$12,C253+E253))</f>
        <v/>
      </c>
      <c r="E253" s="15">
        <f>ROUND(C253*M253/1200,0)</f>
        <v/>
      </c>
      <c r="F253" s="15">
        <f>D253-E253</f>
        <v/>
      </c>
      <c r="G253" s="15">
        <f>IF(C253&lt;=0,0,MIN($B$9,C253-F253))</f>
        <v/>
      </c>
      <c r="H253" s="16" t="n"/>
      <c r="I253" s="15">
        <f>MAX(0,C253-F253-G253-MIN(N(H253),MAX(0,C253-F253-G253)))</f>
        <v/>
      </c>
      <c r="J253" s="17">
        <f>L252</f>
        <v/>
      </c>
      <c r="K253" s="17">
        <f>ROUND(J253*M253/1200,0)</f>
        <v/>
      </c>
      <c r="L253" s="17">
        <f>MAX(0,J253-(MIN($B$12,J253+K253)-K253))</f>
        <v/>
      </c>
      <c r="M253" s="18">
        <f>M252</f>
        <v/>
      </c>
    </row>
    <row r="254">
      <c r="A254" t="n">
        <v>233</v>
      </c>
      <c r="B254" s="14">
        <f>EDATE($B$8,232)</f>
        <v/>
      </c>
      <c r="C254" s="15">
        <f>I253</f>
        <v/>
      </c>
      <c r="D254" s="15">
        <f>IF(C254&lt;=0,0,MIN($B$12,C254+E254))</f>
        <v/>
      </c>
      <c r="E254" s="15">
        <f>ROUND(C254*M254/1200,0)</f>
        <v/>
      </c>
      <c r="F254" s="15">
        <f>D254-E254</f>
        <v/>
      </c>
      <c r="G254" s="15">
        <f>IF(C254&lt;=0,0,MIN($B$9,C254-F254))</f>
        <v/>
      </c>
      <c r="H254" s="16" t="n"/>
      <c r="I254" s="15">
        <f>MAX(0,C254-F254-G254-MIN(N(H254),MAX(0,C254-F254-G254)))</f>
        <v/>
      </c>
      <c r="J254" s="17">
        <f>L253</f>
        <v/>
      </c>
      <c r="K254" s="17">
        <f>ROUND(J254*M254/1200,0)</f>
        <v/>
      </c>
      <c r="L254" s="17">
        <f>MAX(0,J254-(MIN($B$12,J254+K254)-K254))</f>
        <v/>
      </c>
      <c r="M254" s="18">
        <f>M253</f>
        <v/>
      </c>
    </row>
    <row r="255">
      <c r="A255" t="n">
        <v>234</v>
      </c>
      <c r="B255" s="14">
        <f>EDATE($B$8,233)</f>
        <v/>
      </c>
      <c r="C255" s="15">
        <f>I254</f>
        <v/>
      </c>
      <c r="D255" s="15">
        <f>IF(C255&lt;=0,0,MIN($B$12,C255+E255))</f>
        <v/>
      </c>
      <c r="E255" s="15">
        <f>ROUND(C255*M255/1200,0)</f>
        <v/>
      </c>
      <c r="F255" s="15">
        <f>D255-E255</f>
        <v/>
      </c>
      <c r="G255" s="15">
        <f>IF(C255&lt;=0,0,MIN($B$9,C255-F255))</f>
        <v/>
      </c>
      <c r="H255" s="16" t="n"/>
      <c r="I255" s="15">
        <f>MAX(0,C255-F255-G255-MIN(N(H255),MAX(0,C255-F255-G255)))</f>
        <v/>
      </c>
      <c r="J255" s="17">
        <f>L254</f>
        <v/>
      </c>
      <c r="K255" s="17">
        <f>ROUND(J255*M255/1200,0)</f>
        <v/>
      </c>
      <c r="L255" s="17">
        <f>MAX(0,J255-(MIN($B$12,J255+K255)-K255))</f>
        <v/>
      </c>
      <c r="M255" s="18">
        <f>M254</f>
        <v/>
      </c>
    </row>
    <row r="256">
      <c r="A256" t="n">
        <v>235</v>
      </c>
      <c r="B256" s="14">
        <f>EDATE($B$8,234)</f>
        <v/>
      </c>
      <c r="C256" s="15">
        <f>I255</f>
        <v/>
      </c>
      <c r="D256" s="15">
        <f>IF(C256&lt;=0,0,MIN($B$12,C256+E256))</f>
        <v/>
      </c>
      <c r="E256" s="15">
        <f>ROUND(C256*M256/1200,0)</f>
        <v/>
      </c>
      <c r="F256" s="15">
        <f>D256-E256</f>
        <v/>
      </c>
      <c r="G256" s="15">
        <f>IF(C256&lt;=0,0,MIN($B$9,C256-F256))</f>
        <v/>
      </c>
      <c r="H256" s="16" t="n"/>
      <c r="I256" s="15">
        <f>MAX(0,C256-F256-G256-MIN(N(H256),MAX(0,C256-F256-G256)))</f>
        <v/>
      </c>
      <c r="J256" s="17">
        <f>L255</f>
        <v/>
      </c>
      <c r="K256" s="17">
        <f>ROUND(J256*M256/1200,0)</f>
        <v/>
      </c>
      <c r="L256" s="17">
        <f>MAX(0,J256-(MIN($B$12,J256+K256)-K256))</f>
        <v/>
      </c>
      <c r="M256" s="18">
        <f>M255</f>
        <v/>
      </c>
    </row>
    <row r="257">
      <c r="A257" t="n">
        <v>236</v>
      </c>
      <c r="B257" s="14">
        <f>EDATE($B$8,235)</f>
        <v/>
      </c>
      <c r="C257" s="15">
        <f>I256</f>
        <v/>
      </c>
      <c r="D257" s="15">
        <f>IF(C257&lt;=0,0,MIN($B$12,C257+E257))</f>
        <v/>
      </c>
      <c r="E257" s="15">
        <f>ROUND(C257*M257/1200,0)</f>
        <v/>
      </c>
      <c r="F257" s="15">
        <f>D257-E257</f>
        <v/>
      </c>
      <c r="G257" s="15">
        <f>IF(C257&lt;=0,0,MIN($B$9,C257-F257))</f>
        <v/>
      </c>
      <c r="H257" s="16" t="n"/>
      <c r="I257" s="15">
        <f>MAX(0,C257-F257-G257-MIN(N(H257),MAX(0,C257-F257-G257)))</f>
        <v/>
      </c>
      <c r="J257" s="17">
        <f>L256</f>
        <v/>
      </c>
      <c r="K257" s="17">
        <f>ROUND(J257*M257/1200,0)</f>
        <v/>
      </c>
      <c r="L257" s="17">
        <f>MAX(0,J257-(MIN($B$12,J257+K257)-K257))</f>
        <v/>
      </c>
      <c r="M257" s="18">
        <f>M256</f>
        <v/>
      </c>
    </row>
    <row r="258">
      <c r="A258" t="n">
        <v>237</v>
      </c>
      <c r="B258" s="14">
        <f>EDATE($B$8,236)</f>
        <v/>
      </c>
      <c r="C258" s="15">
        <f>I257</f>
        <v/>
      </c>
      <c r="D258" s="15">
        <f>IF(C258&lt;=0,0,MIN($B$12,C258+E258))</f>
        <v/>
      </c>
      <c r="E258" s="15">
        <f>ROUND(C258*M258/1200,0)</f>
        <v/>
      </c>
      <c r="F258" s="15">
        <f>D258-E258</f>
        <v/>
      </c>
      <c r="G258" s="15">
        <f>IF(C258&lt;=0,0,MIN($B$9,C258-F258))</f>
        <v/>
      </c>
      <c r="H258" s="16" t="n"/>
      <c r="I258" s="15">
        <f>MAX(0,C258-F258-G258-MIN(N(H258),MAX(0,C258-F258-G258)))</f>
        <v/>
      </c>
      <c r="J258" s="17">
        <f>L257</f>
        <v/>
      </c>
      <c r="K258" s="17">
        <f>ROUND(J258*M258/1200,0)</f>
        <v/>
      </c>
      <c r="L258" s="17">
        <f>MAX(0,J258-(MIN($B$12,J258+K258)-K258))</f>
        <v/>
      </c>
      <c r="M258" s="18">
        <f>M257</f>
        <v/>
      </c>
    </row>
    <row r="259">
      <c r="A259" t="n">
        <v>238</v>
      </c>
      <c r="B259" s="14">
        <f>EDATE($B$8,237)</f>
        <v/>
      </c>
      <c r="C259" s="15">
        <f>I258</f>
        <v/>
      </c>
      <c r="D259" s="15">
        <f>IF(C259&lt;=0,0,MIN($B$12,C259+E259))</f>
        <v/>
      </c>
      <c r="E259" s="15">
        <f>ROUND(C259*M259/1200,0)</f>
        <v/>
      </c>
      <c r="F259" s="15">
        <f>D259-E259</f>
        <v/>
      </c>
      <c r="G259" s="15">
        <f>IF(C259&lt;=0,0,MIN($B$9,C259-F259))</f>
        <v/>
      </c>
      <c r="H259" s="16" t="n"/>
      <c r="I259" s="15">
        <f>MAX(0,C259-F259-G259-MIN(N(H259),MAX(0,C259-F259-G259)))</f>
        <v/>
      </c>
      <c r="J259" s="17">
        <f>L258</f>
        <v/>
      </c>
      <c r="K259" s="17">
        <f>ROUND(J259*M259/1200,0)</f>
        <v/>
      </c>
      <c r="L259" s="17">
        <f>MAX(0,J259-(MIN($B$12,J259+K259)-K259))</f>
        <v/>
      </c>
      <c r="M259" s="18">
        <f>M258</f>
        <v/>
      </c>
    </row>
    <row r="260">
      <c r="A260" t="n">
        <v>239</v>
      </c>
      <c r="B260" s="14">
        <f>EDATE($B$8,238)</f>
        <v/>
      </c>
      <c r="C260" s="15">
        <f>I259</f>
        <v/>
      </c>
      <c r="D260" s="15">
        <f>IF(C260&lt;=0,0,MIN($B$12,C260+E260))</f>
        <v/>
      </c>
      <c r="E260" s="15">
        <f>ROUND(C260*M260/1200,0)</f>
        <v/>
      </c>
      <c r="F260" s="15">
        <f>D260-E260</f>
        <v/>
      </c>
      <c r="G260" s="15">
        <f>IF(C260&lt;=0,0,MIN($B$9,C260-F260))</f>
        <v/>
      </c>
      <c r="H260" s="16" t="n"/>
      <c r="I260" s="15">
        <f>MAX(0,C260-F260-G260-MIN(N(H260),MAX(0,C260-F260-G260)))</f>
        <v/>
      </c>
      <c r="J260" s="17">
        <f>L259</f>
        <v/>
      </c>
      <c r="K260" s="17">
        <f>ROUND(J260*M260/1200,0)</f>
        <v/>
      </c>
      <c r="L260" s="17">
        <f>MAX(0,J260-(MIN($B$12,J260+K260)-K260))</f>
        <v/>
      </c>
      <c r="M260" s="18">
        <f>M259</f>
        <v/>
      </c>
    </row>
    <row r="261">
      <c r="A261" t="n">
        <v>240</v>
      </c>
      <c r="B261" s="14">
        <f>EDATE($B$8,239)</f>
        <v/>
      </c>
      <c r="C261" s="15">
        <f>I260</f>
        <v/>
      </c>
      <c r="D261" s="15">
        <f>IF(C261&lt;=0,0,MIN($B$12,C261+E261))</f>
        <v/>
      </c>
      <c r="E261" s="15">
        <f>ROUND(C261*M261/1200,0)</f>
        <v/>
      </c>
      <c r="F261" s="15">
        <f>D261-E261</f>
        <v/>
      </c>
      <c r="G261" s="15">
        <f>IF(C261&lt;=0,0,MIN($B$9,C261-F261))</f>
        <v/>
      </c>
      <c r="H261" s="16" t="n"/>
      <c r="I261" s="15">
        <f>MAX(0,C261-F261-G261-MIN(N(H261),MAX(0,C261-F261-G261)))</f>
        <v/>
      </c>
      <c r="J261" s="17">
        <f>L260</f>
        <v/>
      </c>
      <c r="K261" s="17">
        <f>ROUND(J261*M261/1200,0)</f>
        <v/>
      </c>
      <c r="L261" s="17">
        <f>MAX(0,J261-(MIN($B$12,J261+K261)-K261))</f>
        <v/>
      </c>
      <c r="M261" s="18">
        <f>M260</f>
        <v/>
      </c>
    </row>
    <row r="262">
      <c r="A262" t="n">
        <v>241</v>
      </c>
      <c r="B262" s="14">
        <f>EDATE($B$8,240)</f>
        <v/>
      </c>
      <c r="C262" s="15">
        <f>I261</f>
        <v/>
      </c>
      <c r="D262" s="15">
        <f>IF(C262&lt;=0,0,MIN($B$12,C262+E262))</f>
        <v/>
      </c>
      <c r="E262" s="15">
        <f>ROUND(C262*M262/1200,0)</f>
        <v/>
      </c>
      <c r="F262" s="15">
        <f>D262-E262</f>
        <v/>
      </c>
      <c r="G262" s="15">
        <f>IF(C262&lt;=0,0,MIN($B$9,C262-F262))</f>
        <v/>
      </c>
      <c r="H262" s="16" t="n"/>
      <c r="I262" s="15">
        <f>MAX(0,C262-F262-G262-MIN(N(H262),MAX(0,C262-F262-G262)))</f>
        <v/>
      </c>
      <c r="J262" s="17">
        <f>L261</f>
        <v/>
      </c>
      <c r="K262" s="17">
        <f>ROUND(J262*M262/1200,0)</f>
        <v/>
      </c>
      <c r="L262" s="17">
        <f>MAX(0,J262-(MIN($B$12,J262+K262)-K262))</f>
        <v/>
      </c>
      <c r="M262" s="18">
        <f>M261</f>
        <v/>
      </c>
    </row>
    <row r="263">
      <c r="A263" t="n">
        <v>242</v>
      </c>
      <c r="B263" s="14">
        <f>EDATE($B$8,241)</f>
        <v/>
      </c>
      <c r="C263" s="15">
        <f>I262</f>
        <v/>
      </c>
      <c r="D263" s="15">
        <f>IF(C263&lt;=0,0,MIN($B$12,C263+E263))</f>
        <v/>
      </c>
      <c r="E263" s="15">
        <f>ROUND(C263*M263/1200,0)</f>
        <v/>
      </c>
      <c r="F263" s="15">
        <f>D263-E263</f>
        <v/>
      </c>
      <c r="G263" s="15">
        <f>IF(C263&lt;=0,0,MIN($B$9,C263-F263))</f>
        <v/>
      </c>
      <c r="H263" s="16" t="n"/>
      <c r="I263" s="15">
        <f>MAX(0,C263-F263-G263-MIN(N(H263),MAX(0,C263-F263-G263)))</f>
        <v/>
      </c>
      <c r="J263" s="17">
        <f>L262</f>
        <v/>
      </c>
      <c r="K263" s="17">
        <f>ROUND(J263*M263/1200,0)</f>
        <v/>
      </c>
      <c r="L263" s="17">
        <f>MAX(0,J263-(MIN($B$12,J263+K263)-K263))</f>
        <v/>
      </c>
      <c r="M263" s="18">
        <f>M262</f>
        <v/>
      </c>
    </row>
    <row r="264">
      <c r="A264" t="n">
        <v>243</v>
      </c>
      <c r="B264" s="14">
        <f>EDATE($B$8,242)</f>
        <v/>
      </c>
      <c r="C264" s="15">
        <f>I263</f>
        <v/>
      </c>
      <c r="D264" s="15">
        <f>IF(C264&lt;=0,0,MIN($B$12,C264+E264))</f>
        <v/>
      </c>
      <c r="E264" s="15">
        <f>ROUND(C264*M264/1200,0)</f>
        <v/>
      </c>
      <c r="F264" s="15">
        <f>D264-E264</f>
        <v/>
      </c>
      <c r="G264" s="15">
        <f>IF(C264&lt;=0,0,MIN($B$9,C264-F264))</f>
        <v/>
      </c>
      <c r="H264" s="16" t="n"/>
      <c r="I264" s="15">
        <f>MAX(0,C264-F264-G264-MIN(N(H264),MAX(0,C264-F264-G264)))</f>
        <v/>
      </c>
      <c r="J264" s="17">
        <f>L263</f>
        <v/>
      </c>
      <c r="K264" s="17">
        <f>ROUND(J264*M264/1200,0)</f>
        <v/>
      </c>
      <c r="L264" s="17">
        <f>MAX(0,J264-(MIN($B$12,J264+K264)-K264))</f>
        <v/>
      </c>
      <c r="M264" s="18">
        <f>M263</f>
        <v/>
      </c>
    </row>
    <row r="265">
      <c r="A265" t="n">
        <v>244</v>
      </c>
      <c r="B265" s="14">
        <f>EDATE($B$8,243)</f>
        <v/>
      </c>
      <c r="C265" s="15">
        <f>I264</f>
        <v/>
      </c>
      <c r="D265" s="15">
        <f>IF(C265&lt;=0,0,MIN($B$12,C265+E265))</f>
        <v/>
      </c>
      <c r="E265" s="15">
        <f>ROUND(C265*M265/1200,0)</f>
        <v/>
      </c>
      <c r="F265" s="15">
        <f>D265-E265</f>
        <v/>
      </c>
      <c r="G265" s="15">
        <f>IF(C265&lt;=0,0,MIN($B$9,C265-F265))</f>
        <v/>
      </c>
      <c r="H265" s="16" t="n"/>
      <c r="I265" s="15">
        <f>MAX(0,C265-F265-G265-MIN(N(H265),MAX(0,C265-F265-G265)))</f>
        <v/>
      </c>
      <c r="J265" s="17">
        <f>L264</f>
        <v/>
      </c>
      <c r="K265" s="17">
        <f>ROUND(J265*M265/1200,0)</f>
        <v/>
      </c>
      <c r="L265" s="17">
        <f>MAX(0,J265-(MIN($B$12,J265+K265)-K265))</f>
        <v/>
      </c>
      <c r="M265" s="18">
        <f>M264</f>
        <v/>
      </c>
    </row>
    <row r="266">
      <c r="A266" t="n">
        <v>245</v>
      </c>
      <c r="B266" s="14">
        <f>EDATE($B$8,244)</f>
        <v/>
      </c>
      <c r="C266" s="15">
        <f>I265</f>
        <v/>
      </c>
      <c r="D266" s="15">
        <f>IF(C266&lt;=0,0,MIN($B$12,C266+E266))</f>
        <v/>
      </c>
      <c r="E266" s="15">
        <f>ROUND(C266*M266/1200,0)</f>
        <v/>
      </c>
      <c r="F266" s="15">
        <f>D266-E266</f>
        <v/>
      </c>
      <c r="G266" s="15">
        <f>IF(C266&lt;=0,0,MIN($B$9,C266-F266))</f>
        <v/>
      </c>
      <c r="H266" s="16" t="n"/>
      <c r="I266" s="15">
        <f>MAX(0,C266-F266-G266-MIN(N(H266),MAX(0,C266-F266-G266)))</f>
        <v/>
      </c>
      <c r="J266" s="17">
        <f>L265</f>
        <v/>
      </c>
      <c r="K266" s="17">
        <f>ROUND(J266*M266/1200,0)</f>
        <v/>
      </c>
      <c r="L266" s="17">
        <f>MAX(0,J266-(MIN($B$12,J266+K266)-K266))</f>
        <v/>
      </c>
      <c r="M266" s="18">
        <f>M265</f>
        <v/>
      </c>
    </row>
    <row r="267">
      <c r="A267" t="n">
        <v>246</v>
      </c>
      <c r="B267" s="14">
        <f>EDATE($B$8,245)</f>
        <v/>
      </c>
      <c r="C267" s="15">
        <f>I266</f>
        <v/>
      </c>
      <c r="D267" s="15">
        <f>IF(C267&lt;=0,0,MIN($B$12,C267+E267))</f>
        <v/>
      </c>
      <c r="E267" s="15">
        <f>ROUND(C267*M267/1200,0)</f>
        <v/>
      </c>
      <c r="F267" s="15">
        <f>D267-E267</f>
        <v/>
      </c>
      <c r="G267" s="15">
        <f>IF(C267&lt;=0,0,MIN($B$9,C267-F267))</f>
        <v/>
      </c>
      <c r="H267" s="16" t="n"/>
      <c r="I267" s="15">
        <f>MAX(0,C267-F267-G267-MIN(N(H267),MAX(0,C267-F267-G267)))</f>
        <v/>
      </c>
      <c r="J267" s="17">
        <f>L266</f>
        <v/>
      </c>
      <c r="K267" s="17">
        <f>ROUND(J267*M267/1200,0)</f>
        <v/>
      </c>
      <c r="L267" s="17">
        <f>MAX(0,J267-(MIN($B$12,J267+K267)-K267))</f>
        <v/>
      </c>
      <c r="M267" s="18">
        <f>M266</f>
        <v/>
      </c>
    </row>
    <row r="268">
      <c r="A268" t="n">
        <v>247</v>
      </c>
      <c r="B268" s="14">
        <f>EDATE($B$8,246)</f>
        <v/>
      </c>
      <c r="C268" s="15">
        <f>I267</f>
        <v/>
      </c>
      <c r="D268" s="15">
        <f>IF(C268&lt;=0,0,MIN($B$12,C268+E268))</f>
        <v/>
      </c>
      <c r="E268" s="15">
        <f>ROUND(C268*M268/1200,0)</f>
        <v/>
      </c>
      <c r="F268" s="15">
        <f>D268-E268</f>
        <v/>
      </c>
      <c r="G268" s="15">
        <f>IF(C268&lt;=0,0,MIN($B$9,C268-F268))</f>
        <v/>
      </c>
      <c r="H268" s="16" t="n"/>
      <c r="I268" s="15">
        <f>MAX(0,C268-F268-G268-MIN(N(H268),MAX(0,C268-F268-G268)))</f>
        <v/>
      </c>
      <c r="J268" s="17">
        <f>L267</f>
        <v/>
      </c>
      <c r="K268" s="17">
        <f>ROUND(J268*M268/1200,0)</f>
        <v/>
      </c>
      <c r="L268" s="17">
        <f>MAX(0,J268-(MIN($B$12,J268+K268)-K268))</f>
        <v/>
      </c>
      <c r="M268" s="18">
        <f>M267</f>
        <v/>
      </c>
    </row>
    <row r="269">
      <c r="A269" t="n">
        <v>248</v>
      </c>
      <c r="B269" s="14">
        <f>EDATE($B$8,247)</f>
        <v/>
      </c>
      <c r="C269" s="15">
        <f>I268</f>
        <v/>
      </c>
      <c r="D269" s="15">
        <f>IF(C269&lt;=0,0,MIN($B$12,C269+E269))</f>
        <v/>
      </c>
      <c r="E269" s="15">
        <f>ROUND(C269*M269/1200,0)</f>
        <v/>
      </c>
      <c r="F269" s="15">
        <f>D269-E269</f>
        <v/>
      </c>
      <c r="G269" s="15">
        <f>IF(C269&lt;=0,0,MIN($B$9,C269-F269))</f>
        <v/>
      </c>
      <c r="H269" s="16" t="n"/>
      <c r="I269" s="15">
        <f>MAX(0,C269-F269-G269-MIN(N(H269),MAX(0,C269-F269-G269)))</f>
        <v/>
      </c>
      <c r="J269" s="17">
        <f>L268</f>
        <v/>
      </c>
      <c r="K269" s="17">
        <f>ROUND(J269*M269/1200,0)</f>
        <v/>
      </c>
      <c r="L269" s="17">
        <f>MAX(0,J269-(MIN($B$12,J269+K269)-K269))</f>
        <v/>
      </c>
      <c r="M269" s="18">
        <f>M268</f>
        <v/>
      </c>
    </row>
    <row r="270">
      <c r="A270" t="n">
        <v>249</v>
      </c>
      <c r="B270" s="14">
        <f>EDATE($B$8,248)</f>
        <v/>
      </c>
      <c r="C270" s="15">
        <f>I269</f>
        <v/>
      </c>
      <c r="D270" s="15">
        <f>IF(C270&lt;=0,0,MIN($B$12,C270+E270))</f>
        <v/>
      </c>
      <c r="E270" s="15">
        <f>ROUND(C270*M270/1200,0)</f>
        <v/>
      </c>
      <c r="F270" s="15">
        <f>D270-E270</f>
        <v/>
      </c>
      <c r="G270" s="15">
        <f>IF(C270&lt;=0,0,MIN($B$9,C270-F270))</f>
        <v/>
      </c>
      <c r="H270" s="16" t="n"/>
      <c r="I270" s="15">
        <f>MAX(0,C270-F270-G270-MIN(N(H270),MAX(0,C270-F270-G270)))</f>
        <v/>
      </c>
      <c r="J270" s="17">
        <f>L269</f>
        <v/>
      </c>
      <c r="K270" s="17">
        <f>ROUND(J270*M270/1200,0)</f>
        <v/>
      </c>
      <c r="L270" s="17">
        <f>MAX(0,J270-(MIN($B$12,J270+K270)-K270))</f>
        <v/>
      </c>
      <c r="M270" s="18">
        <f>M269</f>
        <v/>
      </c>
    </row>
    <row r="271">
      <c r="A271" t="n">
        <v>250</v>
      </c>
      <c r="B271" s="14">
        <f>EDATE($B$8,249)</f>
        <v/>
      </c>
      <c r="C271" s="15">
        <f>I270</f>
        <v/>
      </c>
      <c r="D271" s="15">
        <f>IF(C271&lt;=0,0,MIN($B$12,C271+E271))</f>
        <v/>
      </c>
      <c r="E271" s="15">
        <f>ROUND(C271*M271/1200,0)</f>
        <v/>
      </c>
      <c r="F271" s="15">
        <f>D271-E271</f>
        <v/>
      </c>
      <c r="G271" s="15">
        <f>IF(C271&lt;=0,0,MIN($B$9,C271-F271))</f>
        <v/>
      </c>
      <c r="H271" s="16" t="n"/>
      <c r="I271" s="15">
        <f>MAX(0,C271-F271-G271-MIN(N(H271),MAX(0,C271-F271-G271)))</f>
        <v/>
      </c>
      <c r="J271" s="17">
        <f>L270</f>
        <v/>
      </c>
      <c r="K271" s="17">
        <f>ROUND(J271*M271/1200,0)</f>
        <v/>
      </c>
      <c r="L271" s="17">
        <f>MAX(0,J271-(MIN($B$12,J271+K271)-K271))</f>
        <v/>
      </c>
      <c r="M271" s="18">
        <f>M270</f>
        <v/>
      </c>
    </row>
    <row r="272">
      <c r="A272" t="n">
        <v>251</v>
      </c>
      <c r="B272" s="14">
        <f>EDATE($B$8,250)</f>
        <v/>
      </c>
      <c r="C272" s="15">
        <f>I271</f>
        <v/>
      </c>
      <c r="D272" s="15">
        <f>IF(C272&lt;=0,0,MIN($B$12,C272+E272))</f>
        <v/>
      </c>
      <c r="E272" s="15">
        <f>ROUND(C272*M272/1200,0)</f>
        <v/>
      </c>
      <c r="F272" s="15">
        <f>D272-E272</f>
        <v/>
      </c>
      <c r="G272" s="15">
        <f>IF(C272&lt;=0,0,MIN($B$9,C272-F272))</f>
        <v/>
      </c>
      <c r="H272" s="16" t="n"/>
      <c r="I272" s="15">
        <f>MAX(0,C272-F272-G272-MIN(N(H272),MAX(0,C272-F272-G272)))</f>
        <v/>
      </c>
      <c r="J272" s="17">
        <f>L271</f>
        <v/>
      </c>
      <c r="K272" s="17">
        <f>ROUND(J272*M272/1200,0)</f>
        <v/>
      </c>
      <c r="L272" s="17">
        <f>MAX(0,J272-(MIN($B$12,J272+K272)-K272))</f>
        <v/>
      </c>
      <c r="M272" s="18">
        <f>M271</f>
        <v/>
      </c>
    </row>
    <row r="273">
      <c r="A273" t="n">
        <v>252</v>
      </c>
      <c r="B273" s="14">
        <f>EDATE($B$8,251)</f>
        <v/>
      </c>
      <c r="C273" s="15">
        <f>I272</f>
        <v/>
      </c>
      <c r="D273" s="15">
        <f>IF(C273&lt;=0,0,MIN($B$12,C273+E273))</f>
        <v/>
      </c>
      <c r="E273" s="15">
        <f>ROUND(C273*M273/1200,0)</f>
        <v/>
      </c>
      <c r="F273" s="15">
        <f>D273-E273</f>
        <v/>
      </c>
      <c r="G273" s="15">
        <f>IF(C273&lt;=0,0,MIN($B$9,C273-F273))</f>
        <v/>
      </c>
      <c r="H273" s="16" t="n"/>
      <c r="I273" s="15">
        <f>MAX(0,C273-F273-G273-MIN(N(H273),MAX(0,C273-F273-G273)))</f>
        <v/>
      </c>
      <c r="J273" s="17">
        <f>L272</f>
        <v/>
      </c>
      <c r="K273" s="17">
        <f>ROUND(J273*M273/1200,0)</f>
        <v/>
      </c>
      <c r="L273" s="17">
        <f>MAX(0,J273-(MIN($B$12,J273+K273)-K273))</f>
        <v/>
      </c>
      <c r="M273" s="18">
        <f>M272</f>
        <v/>
      </c>
    </row>
    <row r="274">
      <c r="A274" t="n">
        <v>253</v>
      </c>
      <c r="B274" s="14">
        <f>EDATE($B$8,252)</f>
        <v/>
      </c>
      <c r="C274" s="15">
        <f>I273</f>
        <v/>
      </c>
      <c r="D274" s="15">
        <f>IF(C274&lt;=0,0,MIN($B$12,C274+E274))</f>
        <v/>
      </c>
      <c r="E274" s="15">
        <f>ROUND(C274*M274/1200,0)</f>
        <v/>
      </c>
      <c r="F274" s="15">
        <f>D274-E274</f>
        <v/>
      </c>
      <c r="G274" s="15">
        <f>IF(C274&lt;=0,0,MIN($B$9,C274-F274))</f>
        <v/>
      </c>
      <c r="H274" s="16" t="n"/>
      <c r="I274" s="15">
        <f>MAX(0,C274-F274-G274-MIN(N(H274),MAX(0,C274-F274-G274)))</f>
        <v/>
      </c>
      <c r="J274" s="17">
        <f>L273</f>
        <v/>
      </c>
      <c r="K274" s="17">
        <f>ROUND(J274*M274/1200,0)</f>
        <v/>
      </c>
      <c r="L274" s="17">
        <f>MAX(0,J274-(MIN($B$12,J274+K274)-K274))</f>
        <v/>
      </c>
      <c r="M274" s="18">
        <f>M273</f>
        <v/>
      </c>
    </row>
    <row r="275">
      <c r="A275" t="n">
        <v>254</v>
      </c>
      <c r="B275" s="14">
        <f>EDATE($B$8,253)</f>
        <v/>
      </c>
      <c r="C275" s="15">
        <f>I274</f>
        <v/>
      </c>
      <c r="D275" s="15">
        <f>IF(C275&lt;=0,0,MIN($B$12,C275+E275))</f>
        <v/>
      </c>
      <c r="E275" s="15">
        <f>ROUND(C275*M275/1200,0)</f>
        <v/>
      </c>
      <c r="F275" s="15">
        <f>D275-E275</f>
        <v/>
      </c>
      <c r="G275" s="15">
        <f>IF(C275&lt;=0,0,MIN($B$9,C275-F275))</f>
        <v/>
      </c>
      <c r="H275" s="16" t="n"/>
      <c r="I275" s="15">
        <f>MAX(0,C275-F275-G275-MIN(N(H275),MAX(0,C275-F275-G275)))</f>
        <v/>
      </c>
      <c r="J275" s="17">
        <f>L274</f>
        <v/>
      </c>
      <c r="K275" s="17">
        <f>ROUND(J275*M275/1200,0)</f>
        <v/>
      </c>
      <c r="L275" s="17">
        <f>MAX(0,J275-(MIN($B$12,J275+K275)-K275))</f>
        <v/>
      </c>
      <c r="M275" s="18">
        <f>M274</f>
        <v/>
      </c>
    </row>
    <row r="276">
      <c r="A276" t="n">
        <v>255</v>
      </c>
      <c r="B276" s="14">
        <f>EDATE($B$8,254)</f>
        <v/>
      </c>
      <c r="C276" s="15">
        <f>I275</f>
        <v/>
      </c>
      <c r="D276" s="15">
        <f>IF(C276&lt;=0,0,MIN($B$12,C276+E276))</f>
        <v/>
      </c>
      <c r="E276" s="15">
        <f>ROUND(C276*M276/1200,0)</f>
        <v/>
      </c>
      <c r="F276" s="15">
        <f>D276-E276</f>
        <v/>
      </c>
      <c r="G276" s="15">
        <f>IF(C276&lt;=0,0,MIN($B$9,C276-F276))</f>
        <v/>
      </c>
      <c r="H276" s="16" t="n"/>
      <c r="I276" s="15">
        <f>MAX(0,C276-F276-G276-MIN(N(H276),MAX(0,C276-F276-G276)))</f>
        <v/>
      </c>
      <c r="J276" s="17">
        <f>L275</f>
        <v/>
      </c>
      <c r="K276" s="17">
        <f>ROUND(J276*M276/1200,0)</f>
        <v/>
      </c>
      <c r="L276" s="17">
        <f>MAX(0,J276-(MIN($B$12,J276+K276)-K276))</f>
        <v/>
      </c>
      <c r="M276" s="18">
        <f>M275</f>
        <v/>
      </c>
    </row>
    <row r="277">
      <c r="A277" t="n">
        <v>256</v>
      </c>
      <c r="B277" s="14">
        <f>EDATE($B$8,255)</f>
        <v/>
      </c>
      <c r="C277" s="15">
        <f>I276</f>
        <v/>
      </c>
      <c r="D277" s="15">
        <f>IF(C277&lt;=0,0,MIN($B$12,C277+E277))</f>
        <v/>
      </c>
      <c r="E277" s="15">
        <f>ROUND(C277*M277/1200,0)</f>
        <v/>
      </c>
      <c r="F277" s="15">
        <f>D277-E277</f>
        <v/>
      </c>
      <c r="G277" s="15">
        <f>IF(C277&lt;=0,0,MIN($B$9,C277-F277))</f>
        <v/>
      </c>
      <c r="H277" s="16" t="n"/>
      <c r="I277" s="15">
        <f>MAX(0,C277-F277-G277-MIN(N(H277),MAX(0,C277-F277-G277)))</f>
        <v/>
      </c>
      <c r="J277" s="17">
        <f>L276</f>
        <v/>
      </c>
      <c r="K277" s="17">
        <f>ROUND(J277*M277/1200,0)</f>
        <v/>
      </c>
      <c r="L277" s="17">
        <f>MAX(0,J277-(MIN($B$12,J277+K277)-K277))</f>
        <v/>
      </c>
      <c r="M277" s="18">
        <f>M276</f>
        <v/>
      </c>
    </row>
    <row r="278">
      <c r="A278" t="n">
        <v>257</v>
      </c>
      <c r="B278" s="14">
        <f>EDATE($B$8,256)</f>
        <v/>
      </c>
      <c r="C278" s="15">
        <f>I277</f>
        <v/>
      </c>
      <c r="D278" s="15">
        <f>IF(C278&lt;=0,0,MIN($B$12,C278+E278))</f>
        <v/>
      </c>
      <c r="E278" s="15">
        <f>ROUND(C278*M278/1200,0)</f>
        <v/>
      </c>
      <c r="F278" s="15">
        <f>D278-E278</f>
        <v/>
      </c>
      <c r="G278" s="15">
        <f>IF(C278&lt;=0,0,MIN($B$9,C278-F278))</f>
        <v/>
      </c>
      <c r="H278" s="16" t="n"/>
      <c r="I278" s="15">
        <f>MAX(0,C278-F278-G278-MIN(N(H278),MAX(0,C278-F278-G278)))</f>
        <v/>
      </c>
      <c r="J278" s="17">
        <f>L277</f>
        <v/>
      </c>
      <c r="K278" s="17">
        <f>ROUND(J278*M278/1200,0)</f>
        <v/>
      </c>
      <c r="L278" s="17">
        <f>MAX(0,J278-(MIN($B$12,J278+K278)-K278))</f>
        <v/>
      </c>
      <c r="M278" s="18">
        <f>M277</f>
        <v/>
      </c>
    </row>
    <row r="279">
      <c r="A279" t="n">
        <v>258</v>
      </c>
      <c r="B279" s="14">
        <f>EDATE($B$8,257)</f>
        <v/>
      </c>
      <c r="C279" s="15">
        <f>I278</f>
        <v/>
      </c>
      <c r="D279" s="15">
        <f>IF(C279&lt;=0,0,MIN($B$12,C279+E279))</f>
        <v/>
      </c>
      <c r="E279" s="15">
        <f>ROUND(C279*M279/1200,0)</f>
        <v/>
      </c>
      <c r="F279" s="15">
        <f>D279-E279</f>
        <v/>
      </c>
      <c r="G279" s="15">
        <f>IF(C279&lt;=0,0,MIN($B$9,C279-F279))</f>
        <v/>
      </c>
      <c r="H279" s="16" t="n"/>
      <c r="I279" s="15">
        <f>MAX(0,C279-F279-G279-MIN(N(H279),MAX(0,C279-F279-G279)))</f>
        <v/>
      </c>
      <c r="J279" s="17">
        <f>L278</f>
        <v/>
      </c>
      <c r="K279" s="17">
        <f>ROUND(J279*M279/1200,0)</f>
        <v/>
      </c>
      <c r="L279" s="17">
        <f>MAX(0,J279-(MIN($B$12,J279+K279)-K279))</f>
        <v/>
      </c>
      <c r="M279" s="18">
        <f>M278</f>
        <v/>
      </c>
    </row>
    <row r="280">
      <c r="A280" t="n">
        <v>259</v>
      </c>
      <c r="B280" s="14">
        <f>EDATE($B$8,258)</f>
        <v/>
      </c>
      <c r="C280" s="15">
        <f>I279</f>
        <v/>
      </c>
      <c r="D280" s="15">
        <f>IF(C280&lt;=0,0,MIN($B$12,C280+E280))</f>
        <v/>
      </c>
      <c r="E280" s="15">
        <f>ROUND(C280*M280/1200,0)</f>
        <v/>
      </c>
      <c r="F280" s="15">
        <f>D280-E280</f>
        <v/>
      </c>
      <c r="G280" s="15">
        <f>IF(C280&lt;=0,0,MIN($B$9,C280-F280))</f>
        <v/>
      </c>
      <c r="H280" s="16" t="n"/>
      <c r="I280" s="15">
        <f>MAX(0,C280-F280-G280-MIN(N(H280),MAX(0,C280-F280-G280)))</f>
        <v/>
      </c>
      <c r="J280" s="17">
        <f>L279</f>
        <v/>
      </c>
      <c r="K280" s="17">
        <f>ROUND(J280*M280/1200,0)</f>
        <v/>
      </c>
      <c r="L280" s="17">
        <f>MAX(0,J280-(MIN($B$12,J280+K280)-K280))</f>
        <v/>
      </c>
      <c r="M280" s="18">
        <f>M279</f>
        <v/>
      </c>
    </row>
    <row r="281">
      <c r="A281" t="n">
        <v>260</v>
      </c>
      <c r="B281" s="14">
        <f>EDATE($B$8,259)</f>
        <v/>
      </c>
      <c r="C281" s="15">
        <f>I280</f>
        <v/>
      </c>
      <c r="D281" s="15">
        <f>IF(C281&lt;=0,0,MIN($B$12,C281+E281))</f>
        <v/>
      </c>
      <c r="E281" s="15">
        <f>ROUND(C281*M281/1200,0)</f>
        <v/>
      </c>
      <c r="F281" s="15">
        <f>D281-E281</f>
        <v/>
      </c>
      <c r="G281" s="15">
        <f>IF(C281&lt;=0,0,MIN($B$9,C281-F281))</f>
        <v/>
      </c>
      <c r="H281" s="16" t="n"/>
      <c r="I281" s="15">
        <f>MAX(0,C281-F281-G281-MIN(N(H281),MAX(0,C281-F281-G281)))</f>
        <v/>
      </c>
      <c r="J281" s="17">
        <f>L280</f>
        <v/>
      </c>
      <c r="K281" s="17">
        <f>ROUND(J281*M281/1200,0)</f>
        <v/>
      </c>
      <c r="L281" s="17">
        <f>MAX(0,J281-(MIN($B$12,J281+K281)-K281))</f>
        <v/>
      </c>
      <c r="M281" s="18">
        <f>M280</f>
        <v/>
      </c>
    </row>
    <row r="282">
      <c r="A282" t="n">
        <v>261</v>
      </c>
      <c r="B282" s="14">
        <f>EDATE($B$8,260)</f>
        <v/>
      </c>
      <c r="C282" s="15">
        <f>I281</f>
        <v/>
      </c>
      <c r="D282" s="15">
        <f>IF(C282&lt;=0,0,MIN($B$12,C282+E282))</f>
        <v/>
      </c>
      <c r="E282" s="15">
        <f>ROUND(C282*M282/1200,0)</f>
        <v/>
      </c>
      <c r="F282" s="15">
        <f>D282-E282</f>
        <v/>
      </c>
      <c r="G282" s="15">
        <f>IF(C282&lt;=0,0,MIN($B$9,C282-F282))</f>
        <v/>
      </c>
      <c r="H282" s="16" t="n"/>
      <c r="I282" s="15">
        <f>MAX(0,C282-F282-G282-MIN(N(H282),MAX(0,C282-F282-G282)))</f>
        <v/>
      </c>
      <c r="J282" s="17">
        <f>L281</f>
        <v/>
      </c>
      <c r="K282" s="17">
        <f>ROUND(J282*M282/1200,0)</f>
        <v/>
      </c>
      <c r="L282" s="17">
        <f>MAX(0,J282-(MIN($B$12,J282+K282)-K282))</f>
        <v/>
      </c>
      <c r="M282" s="18">
        <f>M281</f>
        <v/>
      </c>
    </row>
    <row r="283">
      <c r="A283" t="n">
        <v>262</v>
      </c>
      <c r="B283" s="14">
        <f>EDATE($B$8,261)</f>
        <v/>
      </c>
      <c r="C283" s="15">
        <f>I282</f>
        <v/>
      </c>
      <c r="D283" s="15">
        <f>IF(C283&lt;=0,0,MIN($B$12,C283+E283))</f>
        <v/>
      </c>
      <c r="E283" s="15">
        <f>ROUND(C283*M283/1200,0)</f>
        <v/>
      </c>
      <c r="F283" s="15">
        <f>D283-E283</f>
        <v/>
      </c>
      <c r="G283" s="15">
        <f>IF(C283&lt;=0,0,MIN($B$9,C283-F283))</f>
        <v/>
      </c>
      <c r="H283" s="16" t="n"/>
      <c r="I283" s="15">
        <f>MAX(0,C283-F283-G283-MIN(N(H283),MAX(0,C283-F283-G283)))</f>
        <v/>
      </c>
      <c r="J283" s="17">
        <f>L282</f>
        <v/>
      </c>
      <c r="K283" s="17">
        <f>ROUND(J283*M283/1200,0)</f>
        <v/>
      </c>
      <c r="L283" s="17">
        <f>MAX(0,J283-(MIN($B$12,J283+K283)-K283))</f>
        <v/>
      </c>
      <c r="M283" s="18">
        <f>M282</f>
        <v/>
      </c>
    </row>
    <row r="284">
      <c r="A284" t="n">
        <v>263</v>
      </c>
      <c r="B284" s="14">
        <f>EDATE($B$8,262)</f>
        <v/>
      </c>
      <c r="C284" s="15">
        <f>I283</f>
        <v/>
      </c>
      <c r="D284" s="15">
        <f>IF(C284&lt;=0,0,MIN($B$12,C284+E284))</f>
        <v/>
      </c>
      <c r="E284" s="15">
        <f>ROUND(C284*M284/1200,0)</f>
        <v/>
      </c>
      <c r="F284" s="15">
        <f>D284-E284</f>
        <v/>
      </c>
      <c r="G284" s="15">
        <f>IF(C284&lt;=0,0,MIN($B$9,C284-F284))</f>
        <v/>
      </c>
      <c r="H284" s="16" t="n"/>
      <c r="I284" s="15">
        <f>MAX(0,C284-F284-G284-MIN(N(H284),MAX(0,C284-F284-G284)))</f>
        <v/>
      </c>
      <c r="J284" s="17">
        <f>L283</f>
        <v/>
      </c>
      <c r="K284" s="17">
        <f>ROUND(J284*M284/1200,0)</f>
        <v/>
      </c>
      <c r="L284" s="17">
        <f>MAX(0,J284-(MIN($B$12,J284+K284)-K284))</f>
        <v/>
      </c>
      <c r="M284" s="18">
        <f>M283</f>
        <v/>
      </c>
    </row>
    <row r="285">
      <c r="A285" t="n">
        <v>264</v>
      </c>
      <c r="B285" s="14">
        <f>EDATE($B$8,263)</f>
        <v/>
      </c>
      <c r="C285" s="15">
        <f>I284</f>
        <v/>
      </c>
      <c r="D285" s="15">
        <f>IF(C285&lt;=0,0,MIN($B$12,C285+E285))</f>
        <v/>
      </c>
      <c r="E285" s="15">
        <f>ROUND(C285*M285/1200,0)</f>
        <v/>
      </c>
      <c r="F285" s="15">
        <f>D285-E285</f>
        <v/>
      </c>
      <c r="G285" s="15">
        <f>IF(C285&lt;=0,0,MIN($B$9,C285-F285))</f>
        <v/>
      </c>
      <c r="H285" s="16" t="n"/>
      <c r="I285" s="15">
        <f>MAX(0,C285-F285-G285-MIN(N(H285),MAX(0,C285-F285-G285)))</f>
        <v/>
      </c>
      <c r="J285" s="17">
        <f>L284</f>
        <v/>
      </c>
      <c r="K285" s="17">
        <f>ROUND(J285*M285/1200,0)</f>
        <v/>
      </c>
      <c r="L285" s="17">
        <f>MAX(0,J285-(MIN($B$12,J285+K285)-K285))</f>
        <v/>
      </c>
      <c r="M285" s="18">
        <f>M284</f>
        <v/>
      </c>
    </row>
    <row r="286">
      <c r="A286" t="n">
        <v>265</v>
      </c>
      <c r="B286" s="14">
        <f>EDATE($B$8,264)</f>
        <v/>
      </c>
      <c r="C286" s="15">
        <f>I285</f>
        <v/>
      </c>
      <c r="D286" s="15">
        <f>IF(C286&lt;=0,0,MIN($B$12,C286+E286))</f>
        <v/>
      </c>
      <c r="E286" s="15">
        <f>ROUND(C286*M286/1200,0)</f>
        <v/>
      </c>
      <c r="F286" s="15">
        <f>D286-E286</f>
        <v/>
      </c>
      <c r="G286" s="15">
        <f>IF(C286&lt;=0,0,MIN($B$9,C286-F286))</f>
        <v/>
      </c>
      <c r="H286" s="16" t="n"/>
      <c r="I286" s="15">
        <f>MAX(0,C286-F286-G286-MIN(N(H286),MAX(0,C286-F286-G286)))</f>
        <v/>
      </c>
      <c r="J286" s="17">
        <f>L285</f>
        <v/>
      </c>
      <c r="K286" s="17">
        <f>ROUND(J286*M286/1200,0)</f>
        <v/>
      </c>
      <c r="L286" s="17">
        <f>MAX(0,J286-(MIN($B$12,J286+K286)-K286))</f>
        <v/>
      </c>
      <c r="M286" s="18">
        <f>M285</f>
        <v/>
      </c>
    </row>
    <row r="287">
      <c r="A287" t="n">
        <v>266</v>
      </c>
      <c r="B287" s="14">
        <f>EDATE($B$8,265)</f>
        <v/>
      </c>
      <c r="C287" s="15">
        <f>I286</f>
        <v/>
      </c>
      <c r="D287" s="15">
        <f>IF(C287&lt;=0,0,MIN($B$12,C287+E287))</f>
        <v/>
      </c>
      <c r="E287" s="15">
        <f>ROUND(C287*M287/1200,0)</f>
        <v/>
      </c>
      <c r="F287" s="15">
        <f>D287-E287</f>
        <v/>
      </c>
      <c r="G287" s="15">
        <f>IF(C287&lt;=0,0,MIN($B$9,C287-F287))</f>
        <v/>
      </c>
      <c r="H287" s="16" t="n"/>
      <c r="I287" s="15">
        <f>MAX(0,C287-F287-G287-MIN(N(H287),MAX(0,C287-F287-G287)))</f>
        <v/>
      </c>
      <c r="J287" s="17">
        <f>L286</f>
        <v/>
      </c>
      <c r="K287" s="17">
        <f>ROUND(J287*M287/1200,0)</f>
        <v/>
      </c>
      <c r="L287" s="17">
        <f>MAX(0,J287-(MIN($B$12,J287+K287)-K287))</f>
        <v/>
      </c>
      <c r="M287" s="18">
        <f>M286</f>
        <v/>
      </c>
    </row>
    <row r="288">
      <c r="A288" t="n">
        <v>267</v>
      </c>
      <c r="B288" s="14">
        <f>EDATE($B$8,266)</f>
        <v/>
      </c>
      <c r="C288" s="15">
        <f>I287</f>
        <v/>
      </c>
      <c r="D288" s="15">
        <f>IF(C288&lt;=0,0,MIN($B$12,C288+E288))</f>
        <v/>
      </c>
      <c r="E288" s="15">
        <f>ROUND(C288*M288/1200,0)</f>
        <v/>
      </c>
      <c r="F288" s="15">
        <f>D288-E288</f>
        <v/>
      </c>
      <c r="G288" s="15">
        <f>IF(C288&lt;=0,0,MIN($B$9,C288-F288))</f>
        <v/>
      </c>
      <c r="H288" s="16" t="n"/>
      <c r="I288" s="15">
        <f>MAX(0,C288-F288-G288-MIN(N(H288),MAX(0,C288-F288-G288)))</f>
        <v/>
      </c>
      <c r="J288" s="17">
        <f>L287</f>
        <v/>
      </c>
      <c r="K288" s="17">
        <f>ROUND(J288*M288/1200,0)</f>
        <v/>
      </c>
      <c r="L288" s="17">
        <f>MAX(0,J288-(MIN($B$12,J288+K288)-K288))</f>
        <v/>
      </c>
      <c r="M288" s="18">
        <f>M287</f>
        <v/>
      </c>
    </row>
    <row r="289">
      <c r="A289" t="n">
        <v>268</v>
      </c>
      <c r="B289" s="14">
        <f>EDATE($B$8,267)</f>
        <v/>
      </c>
      <c r="C289" s="15">
        <f>I288</f>
        <v/>
      </c>
      <c r="D289" s="15">
        <f>IF(C289&lt;=0,0,MIN($B$12,C289+E289))</f>
        <v/>
      </c>
      <c r="E289" s="15">
        <f>ROUND(C289*M289/1200,0)</f>
        <v/>
      </c>
      <c r="F289" s="15">
        <f>D289-E289</f>
        <v/>
      </c>
      <c r="G289" s="15">
        <f>IF(C289&lt;=0,0,MIN($B$9,C289-F289))</f>
        <v/>
      </c>
      <c r="H289" s="16" t="n"/>
      <c r="I289" s="15">
        <f>MAX(0,C289-F289-G289-MIN(N(H289),MAX(0,C289-F289-G289)))</f>
        <v/>
      </c>
      <c r="J289" s="17">
        <f>L288</f>
        <v/>
      </c>
      <c r="K289" s="17">
        <f>ROUND(J289*M289/1200,0)</f>
        <v/>
      </c>
      <c r="L289" s="17">
        <f>MAX(0,J289-(MIN($B$12,J289+K289)-K289))</f>
        <v/>
      </c>
      <c r="M289" s="18">
        <f>M288</f>
        <v/>
      </c>
    </row>
    <row r="290">
      <c r="A290" t="n">
        <v>269</v>
      </c>
      <c r="B290" s="14">
        <f>EDATE($B$8,268)</f>
        <v/>
      </c>
      <c r="C290" s="15">
        <f>I289</f>
        <v/>
      </c>
      <c r="D290" s="15">
        <f>IF(C290&lt;=0,0,MIN($B$12,C290+E290))</f>
        <v/>
      </c>
      <c r="E290" s="15">
        <f>ROUND(C290*M290/1200,0)</f>
        <v/>
      </c>
      <c r="F290" s="15">
        <f>D290-E290</f>
        <v/>
      </c>
      <c r="G290" s="15">
        <f>IF(C290&lt;=0,0,MIN($B$9,C290-F290))</f>
        <v/>
      </c>
      <c r="H290" s="16" t="n"/>
      <c r="I290" s="15">
        <f>MAX(0,C290-F290-G290-MIN(N(H290),MAX(0,C290-F290-G290)))</f>
        <v/>
      </c>
      <c r="J290" s="17">
        <f>L289</f>
        <v/>
      </c>
      <c r="K290" s="17">
        <f>ROUND(J290*M290/1200,0)</f>
        <v/>
      </c>
      <c r="L290" s="17">
        <f>MAX(0,J290-(MIN($B$12,J290+K290)-K290))</f>
        <v/>
      </c>
      <c r="M290" s="18">
        <f>M289</f>
        <v/>
      </c>
    </row>
    <row r="291">
      <c r="A291" t="n">
        <v>270</v>
      </c>
      <c r="B291" s="14">
        <f>EDATE($B$8,269)</f>
        <v/>
      </c>
      <c r="C291" s="15">
        <f>I290</f>
        <v/>
      </c>
      <c r="D291" s="15">
        <f>IF(C291&lt;=0,0,MIN($B$12,C291+E291))</f>
        <v/>
      </c>
      <c r="E291" s="15">
        <f>ROUND(C291*M291/1200,0)</f>
        <v/>
      </c>
      <c r="F291" s="15">
        <f>D291-E291</f>
        <v/>
      </c>
      <c r="G291" s="15">
        <f>IF(C291&lt;=0,0,MIN($B$9,C291-F291))</f>
        <v/>
      </c>
      <c r="H291" s="16" t="n"/>
      <c r="I291" s="15">
        <f>MAX(0,C291-F291-G291-MIN(N(H291),MAX(0,C291-F291-G291)))</f>
        <v/>
      </c>
      <c r="J291" s="17">
        <f>L290</f>
        <v/>
      </c>
      <c r="K291" s="17">
        <f>ROUND(J291*M291/1200,0)</f>
        <v/>
      </c>
      <c r="L291" s="17">
        <f>MAX(0,J291-(MIN($B$12,J291+K291)-K291))</f>
        <v/>
      </c>
      <c r="M291" s="18">
        <f>M290</f>
        <v/>
      </c>
    </row>
    <row r="292">
      <c r="A292" t="n">
        <v>271</v>
      </c>
      <c r="B292" s="14">
        <f>EDATE($B$8,270)</f>
        <v/>
      </c>
      <c r="C292" s="15">
        <f>I291</f>
        <v/>
      </c>
      <c r="D292" s="15">
        <f>IF(C292&lt;=0,0,MIN($B$12,C292+E292))</f>
        <v/>
      </c>
      <c r="E292" s="15">
        <f>ROUND(C292*M292/1200,0)</f>
        <v/>
      </c>
      <c r="F292" s="15">
        <f>D292-E292</f>
        <v/>
      </c>
      <c r="G292" s="15">
        <f>IF(C292&lt;=0,0,MIN($B$9,C292-F292))</f>
        <v/>
      </c>
      <c r="H292" s="16" t="n"/>
      <c r="I292" s="15">
        <f>MAX(0,C292-F292-G292-MIN(N(H292),MAX(0,C292-F292-G292)))</f>
        <v/>
      </c>
      <c r="J292" s="17">
        <f>L291</f>
        <v/>
      </c>
      <c r="K292" s="17">
        <f>ROUND(J292*M292/1200,0)</f>
        <v/>
      </c>
      <c r="L292" s="17">
        <f>MAX(0,J292-(MIN($B$12,J292+K292)-K292))</f>
        <v/>
      </c>
      <c r="M292" s="18">
        <f>M291</f>
        <v/>
      </c>
    </row>
    <row r="293">
      <c r="A293" t="n">
        <v>272</v>
      </c>
      <c r="B293" s="14">
        <f>EDATE($B$8,271)</f>
        <v/>
      </c>
      <c r="C293" s="15">
        <f>I292</f>
        <v/>
      </c>
      <c r="D293" s="15">
        <f>IF(C293&lt;=0,0,MIN($B$12,C293+E293))</f>
        <v/>
      </c>
      <c r="E293" s="15">
        <f>ROUND(C293*M293/1200,0)</f>
        <v/>
      </c>
      <c r="F293" s="15">
        <f>D293-E293</f>
        <v/>
      </c>
      <c r="G293" s="15">
        <f>IF(C293&lt;=0,0,MIN($B$9,C293-F293))</f>
        <v/>
      </c>
      <c r="H293" s="16" t="n"/>
      <c r="I293" s="15">
        <f>MAX(0,C293-F293-G293-MIN(N(H293),MAX(0,C293-F293-G293)))</f>
        <v/>
      </c>
      <c r="J293" s="17">
        <f>L292</f>
        <v/>
      </c>
      <c r="K293" s="17">
        <f>ROUND(J293*M293/1200,0)</f>
        <v/>
      </c>
      <c r="L293" s="17">
        <f>MAX(0,J293-(MIN($B$12,J293+K293)-K293))</f>
        <v/>
      </c>
      <c r="M293" s="18">
        <f>M292</f>
        <v/>
      </c>
    </row>
    <row r="294">
      <c r="A294" t="n">
        <v>273</v>
      </c>
      <c r="B294" s="14">
        <f>EDATE($B$8,272)</f>
        <v/>
      </c>
      <c r="C294" s="15">
        <f>I293</f>
        <v/>
      </c>
      <c r="D294" s="15">
        <f>IF(C294&lt;=0,0,MIN($B$12,C294+E294))</f>
        <v/>
      </c>
      <c r="E294" s="15">
        <f>ROUND(C294*M294/1200,0)</f>
        <v/>
      </c>
      <c r="F294" s="15">
        <f>D294-E294</f>
        <v/>
      </c>
      <c r="G294" s="15">
        <f>IF(C294&lt;=0,0,MIN($B$9,C294-F294))</f>
        <v/>
      </c>
      <c r="H294" s="16" t="n"/>
      <c r="I294" s="15">
        <f>MAX(0,C294-F294-G294-MIN(N(H294),MAX(0,C294-F294-G294)))</f>
        <v/>
      </c>
      <c r="J294" s="17">
        <f>L293</f>
        <v/>
      </c>
      <c r="K294" s="17">
        <f>ROUND(J294*M294/1200,0)</f>
        <v/>
      </c>
      <c r="L294" s="17">
        <f>MAX(0,J294-(MIN($B$12,J294+K294)-K294))</f>
        <v/>
      </c>
      <c r="M294" s="18">
        <f>M293</f>
        <v/>
      </c>
    </row>
    <row r="295">
      <c r="A295" t="n">
        <v>274</v>
      </c>
      <c r="B295" s="14">
        <f>EDATE($B$8,273)</f>
        <v/>
      </c>
      <c r="C295" s="15">
        <f>I294</f>
        <v/>
      </c>
      <c r="D295" s="15">
        <f>IF(C295&lt;=0,0,MIN($B$12,C295+E295))</f>
        <v/>
      </c>
      <c r="E295" s="15">
        <f>ROUND(C295*M295/1200,0)</f>
        <v/>
      </c>
      <c r="F295" s="15">
        <f>D295-E295</f>
        <v/>
      </c>
      <c r="G295" s="15">
        <f>IF(C295&lt;=0,0,MIN($B$9,C295-F295))</f>
        <v/>
      </c>
      <c r="H295" s="16" t="n"/>
      <c r="I295" s="15">
        <f>MAX(0,C295-F295-G295-MIN(N(H295),MAX(0,C295-F295-G295)))</f>
        <v/>
      </c>
      <c r="J295" s="17">
        <f>L294</f>
        <v/>
      </c>
      <c r="K295" s="17">
        <f>ROUND(J295*M295/1200,0)</f>
        <v/>
      </c>
      <c r="L295" s="17">
        <f>MAX(0,J295-(MIN($B$12,J295+K295)-K295))</f>
        <v/>
      </c>
      <c r="M295" s="18">
        <f>M294</f>
        <v/>
      </c>
    </row>
    <row r="296">
      <c r="A296" t="n">
        <v>275</v>
      </c>
      <c r="B296" s="14">
        <f>EDATE($B$8,274)</f>
        <v/>
      </c>
      <c r="C296" s="15">
        <f>I295</f>
        <v/>
      </c>
      <c r="D296" s="15">
        <f>IF(C296&lt;=0,0,MIN($B$12,C296+E296))</f>
        <v/>
      </c>
      <c r="E296" s="15">
        <f>ROUND(C296*M296/1200,0)</f>
        <v/>
      </c>
      <c r="F296" s="15">
        <f>D296-E296</f>
        <v/>
      </c>
      <c r="G296" s="15">
        <f>IF(C296&lt;=0,0,MIN($B$9,C296-F296))</f>
        <v/>
      </c>
      <c r="H296" s="16" t="n"/>
      <c r="I296" s="15">
        <f>MAX(0,C296-F296-G296-MIN(N(H296),MAX(0,C296-F296-G296)))</f>
        <v/>
      </c>
      <c r="J296" s="17">
        <f>L295</f>
        <v/>
      </c>
      <c r="K296" s="17">
        <f>ROUND(J296*M296/1200,0)</f>
        <v/>
      </c>
      <c r="L296" s="17">
        <f>MAX(0,J296-(MIN($B$12,J296+K296)-K296))</f>
        <v/>
      </c>
      <c r="M296" s="18">
        <f>M295</f>
        <v/>
      </c>
    </row>
    <row r="297">
      <c r="A297" t="n">
        <v>276</v>
      </c>
      <c r="B297" s="14">
        <f>EDATE($B$8,275)</f>
        <v/>
      </c>
      <c r="C297" s="15">
        <f>I296</f>
        <v/>
      </c>
      <c r="D297" s="15">
        <f>IF(C297&lt;=0,0,MIN($B$12,C297+E297))</f>
        <v/>
      </c>
      <c r="E297" s="15">
        <f>ROUND(C297*M297/1200,0)</f>
        <v/>
      </c>
      <c r="F297" s="15">
        <f>D297-E297</f>
        <v/>
      </c>
      <c r="G297" s="15">
        <f>IF(C297&lt;=0,0,MIN($B$9,C297-F297))</f>
        <v/>
      </c>
      <c r="H297" s="16" t="n"/>
      <c r="I297" s="15">
        <f>MAX(0,C297-F297-G297-MIN(N(H297),MAX(0,C297-F297-G297)))</f>
        <v/>
      </c>
      <c r="J297" s="17">
        <f>L296</f>
        <v/>
      </c>
      <c r="K297" s="17">
        <f>ROUND(J297*M297/1200,0)</f>
        <v/>
      </c>
      <c r="L297" s="17">
        <f>MAX(0,J297-(MIN($B$12,J297+K297)-K297))</f>
        <v/>
      </c>
      <c r="M297" s="18">
        <f>M296</f>
        <v/>
      </c>
    </row>
    <row r="298">
      <c r="A298" t="n">
        <v>277</v>
      </c>
      <c r="B298" s="14">
        <f>EDATE($B$8,276)</f>
        <v/>
      </c>
      <c r="C298" s="15">
        <f>I297</f>
        <v/>
      </c>
      <c r="D298" s="15">
        <f>IF(C298&lt;=0,0,MIN($B$12,C298+E298))</f>
        <v/>
      </c>
      <c r="E298" s="15">
        <f>ROUND(C298*M298/1200,0)</f>
        <v/>
      </c>
      <c r="F298" s="15">
        <f>D298-E298</f>
        <v/>
      </c>
      <c r="G298" s="15">
        <f>IF(C298&lt;=0,0,MIN($B$9,C298-F298))</f>
        <v/>
      </c>
      <c r="H298" s="16" t="n"/>
      <c r="I298" s="15">
        <f>MAX(0,C298-F298-G298-MIN(N(H298),MAX(0,C298-F298-G298)))</f>
        <v/>
      </c>
      <c r="J298" s="17">
        <f>L297</f>
        <v/>
      </c>
      <c r="K298" s="17">
        <f>ROUND(J298*M298/1200,0)</f>
        <v/>
      </c>
      <c r="L298" s="17">
        <f>MAX(0,J298-(MIN($B$12,J298+K298)-K298))</f>
        <v/>
      </c>
      <c r="M298" s="18">
        <f>M297</f>
        <v/>
      </c>
    </row>
    <row r="299">
      <c r="A299" t="n">
        <v>278</v>
      </c>
      <c r="B299" s="14">
        <f>EDATE($B$8,277)</f>
        <v/>
      </c>
      <c r="C299" s="15">
        <f>I298</f>
        <v/>
      </c>
      <c r="D299" s="15">
        <f>IF(C299&lt;=0,0,MIN($B$12,C299+E299))</f>
        <v/>
      </c>
      <c r="E299" s="15">
        <f>ROUND(C299*M299/1200,0)</f>
        <v/>
      </c>
      <c r="F299" s="15">
        <f>D299-E299</f>
        <v/>
      </c>
      <c r="G299" s="15">
        <f>IF(C299&lt;=0,0,MIN($B$9,C299-F299))</f>
        <v/>
      </c>
      <c r="H299" s="16" t="n"/>
      <c r="I299" s="15">
        <f>MAX(0,C299-F299-G299-MIN(N(H299),MAX(0,C299-F299-G299)))</f>
        <v/>
      </c>
      <c r="J299" s="17">
        <f>L298</f>
        <v/>
      </c>
      <c r="K299" s="17">
        <f>ROUND(J299*M299/1200,0)</f>
        <v/>
      </c>
      <c r="L299" s="17">
        <f>MAX(0,J299-(MIN($B$12,J299+K299)-K299))</f>
        <v/>
      </c>
      <c r="M299" s="18">
        <f>M298</f>
        <v/>
      </c>
    </row>
    <row r="300">
      <c r="A300" t="n">
        <v>279</v>
      </c>
      <c r="B300" s="14">
        <f>EDATE($B$8,278)</f>
        <v/>
      </c>
      <c r="C300" s="15">
        <f>I299</f>
        <v/>
      </c>
      <c r="D300" s="15">
        <f>IF(C300&lt;=0,0,MIN($B$12,C300+E300))</f>
        <v/>
      </c>
      <c r="E300" s="15">
        <f>ROUND(C300*M300/1200,0)</f>
        <v/>
      </c>
      <c r="F300" s="15">
        <f>D300-E300</f>
        <v/>
      </c>
      <c r="G300" s="15">
        <f>IF(C300&lt;=0,0,MIN($B$9,C300-F300))</f>
        <v/>
      </c>
      <c r="H300" s="16" t="n"/>
      <c r="I300" s="15">
        <f>MAX(0,C300-F300-G300-MIN(N(H300),MAX(0,C300-F300-G300)))</f>
        <v/>
      </c>
      <c r="J300" s="17">
        <f>L299</f>
        <v/>
      </c>
      <c r="K300" s="17">
        <f>ROUND(J300*M300/1200,0)</f>
        <v/>
      </c>
      <c r="L300" s="17">
        <f>MAX(0,J300-(MIN($B$12,J300+K300)-K300))</f>
        <v/>
      </c>
      <c r="M300" s="18">
        <f>M299</f>
        <v/>
      </c>
    </row>
    <row r="301">
      <c r="A301" t="n">
        <v>280</v>
      </c>
      <c r="B301" s="14">
        <f>EDATE($B$8,279)</f>
        <v/>
      </c>
      <c r="C301" s="15">
        <f>I300</f>
        <v/>
      </c>
      <c r="D301" s="15">
        <f>IF(C301&lt;=0,0,MIN($B$12,C301+E301))</f>
        <v/>
      </c>
      <c r="E301" s="15">
        <f>ROUND(C301*M301/1200,0)</f>
        <v/>
      </c>
      <c r="F301" s="15">
        <f>D301-E301</f>
        <v/>
      </c>
      <c r="G301" s="15">
        <f>IF(C301&lt;=0,0,MIN($B$9,C301-F301))</f>
        <v/>
      </c>
      <c r="H301" s="16" t="n"/>
      <c r="I301" s="15">
        <f>MAX(0,C301-F301-G301-MIN(N(H301),MAX(0,C301-F301-G301)))</f>
        <v/>
      </c>
      <c r="J301" s="17">
        <f>L300</f>
        <v/>
      </c>
      <c r="K301" s="17">
        <f>ROUND(J301*M301/1200,0)</f>
        <v/>
      </c>
      <c r="L301" s="17">
        <f>MAX(0,J301-(MIN($B$12,J301+K301)-K301))</f>
        <v/>
      </c>
      <c r="M301" s="18">
        <f>M300</f>
        <v/>
      </c>
    </row>
    <row r="302">
      <c r="A302" t="n">
        <v>281</v>
      </c>
      <c r="B302" s="14">
        <f>EDATE($B$8,280)</f>
        <v/>
      </c>
      <c r="C302" s="15">
        <f>I301</f>
        <v/>
      </c>
      <c r="D302" s="15">
        <f>IF(C302&lt;=0,0,MIN($B$12,C302+E302))</f>
        <v/>
      </c>
      <c r="E302" s="15">
        <f>ROUND(C302*M302/1200,0)</f>
        <v/>
      </c>
      <c r="F302" s="15">
        <f>D302-E302</f>
        <v/>
      </c>
      <c r="G302" s="15">
        <f>IF(C302&lt;=0,0,MIN($B$9,C302-F302))</f>
        <v/>
      </c>
      <c r="H302" s="16" t="n"/>
      <c r="I302" s="15">
        <f>MAX(0,C302-F302-G302-MIN(N(H302),MAX(0,C302-F302-G302)))</f>
        <v/>
      </c>
      <c r="J302" s="17">
        <f>L301</f>
        <v/>
      </c>
      <c r="K302" s="17">
        <f>ROUND(J302*M302/1200,0)</f>
        <v/>
      </c>
      <c r="L302" s="17">
        <f>MAX(0,J302-(MIN($B$12,J302+K302)-K302))</f>
        <v/>
      </c>
      <c r="M302" s="18">
        <f>M301</f>
        <v/>
      </c>
    </row>
    <row r="303">
      <c r="A303" t="n">
        <v>282</v>
      </c>
      <c r="B303" s="14">
        <f>EDATE($B$8,281)</f>
        <v/>
      </c>
      <c r="C303" s="15">
        <f>I302</f>
        <v/>
      </c>
      <c r="D303" s="15">
        <f>IF(C303&lt;=0,0,MIN($B$12,C303+E303))</f>
        <v/>
      </c>
      <c r="E303" s="15">
        <f>ROUND(C303*M303/1200,0)</f>
        <v/>
      </c>
      <c r="F303" s="15">
        <f>D303-E303</f>
        <v/>
      </c>
      <c r="G303" s="15">
        <f>IF(C303&lt;=0,0,MIN($B$9,C303-F303))</f>
        <v/>
      </c>
      <c r="H303" s="16" t="n"/>
      <c r="I303" s="15">
        <f>MAX(0,C303-F303-G303-MIN(N(H303),MAX(0,C303-F303-G303)))</f>
        <v/>
      </c>
      <c r="J303" s="17">
        <f>L302</f>
        <v/>
      </c>
      <c r="K303" s="17">
        <f>ROUND(J303*M303/1200,0)</f>
        <v/>
      </c>
      <c r="L303" s="17">
        <f>MAX(0,J303-(MIN($B$12,J303+K303)-K303))</f>
        <v/>
      </c>
      <c r="M303" s="18">
        <f>M302</f>
        <v/>
      </c>
    </row>
    <row r="304">
      <c r="A304" t="n">
        <v>283</v>
      </c>
      <c r="B304" s="14">
        <f>EDATE($B$8,282)</f>
        <v/>
      </c>
      <c r="C304" s="15">
        <f>I303</f>
        <v/>
      </c>
      <c r="D304" s="15">
        <f>IF(C304&lt;=0,0,MIN($B$12,C304+E304))</f>
        <v/>
      </c>
      <c r="E304" s="15">
        <f>ROUND(C304*M304/1200,0)</f>
        <v/>
      </c>
      <c r="F304" s="15">
        <f>D304-E304</f>
        <v/>
      </c>
      <c r="G304" s="15">
        <f>IF(C304&lt;=0,0,MIN($B$9,C304-F304))</f>
        <v/>
      </c>
      <c r="H304" s="16" t="n"/>
      <c r="I304" s="15">
        <f>MAX(0,C304-F304-G304-MIN(N(H304),MAX(0,C304-F304-G304)))</f>
        <v/>
      </c>
      <c r="J304" s="17">
        <f>L303</f>
        <v/>
      </c>
      <c r="K304" s="17">
        <f>ROUND(J304*M304/1200,0)</f>
        <v/>
      </c>
      <c r="L304" s="17">
        <f>MAX(0,J304-(MIN($B$12,J304+K304)-K304))</f>
        <v/>
      </c>
      <c r="M304" s="18">
        <f>M303</f>
        <v/>
      </c>
    </row>
    <row r="305">
      <c r="A305" t="n">
        <v>284</v>
      </c>
      <c r="B305" s="14">
        <f>EDATE($B$8,283)</f>
        <v/>
      </c>
      <c r="C305" s="15">
        <f>I304</f>
        <v/>
      </c>
      <c r="D305" s="15">
        <f>IF(C305&lt;=0,0,MIN($B$12,C305+E305))</f>
        <v/>
      </c>
      <c r="E305" s="15">
        <f>ROUND(C305*M305/1200,0)</f>
        <v/>
      </c>
      <c r="F305" s="15">
        <f>D305-E305</f>
        <v/>
      </c>
      <c r="G305" s="15">
        <f>IF(C305&lt;=0,0,MIN($B$9,C305-F305))</f>
        <v/>
      </c>
      <c r="H305" s="16" t="n"/>
      <c r="I305" s="15">
        <f>MAX(0,C305-F305-G305-MIN(N(H305),MAX(0,C305-F305-G305)))</f>
        <v/>
      </c>
      <c r="J305" s="17">
        <f>L304</f>
        <v/>
      </c>
      <c r="K305" s="17">
        <f>ROUND(J305*M305/1200,0)</f>
        <v/>
      </c>
      <c r="L305" s="17">
        <f>MAX(0,J305-(MIN($B$12,J305+K305)-K305))</f>
        <v/>
      </c>
      <c r="M305" s="18">
        <f>M304</f>
        <v/>
      </c>
    </row>
    <row r="306">
      <c r="A306" t="n">
        <v>285</v>
      </c>
      <c r="B306" s="14">
        <f>EDATE($B$8,284)</f>
        <v/>
      </c>
      <c r="C306" s="15">
        <f>I305</f>
        <v/>
      </c>
      <c r="D306" s="15">
        <f>IF(C306&lt;=0,0,MIN($B$12,C306+E306))</f>
        <v/>
      </c>
      <c r="E306" s="15">
        <f>ROUND(C306*M306/1200,0)</f>
        <v/>
      </c>
      <c r="F306" s="15">
        <f>D306-E306</f>
        <v/>
      </c>
      <c r="G306" s="15">
        <f>IF(C306&lt;=0,0,MIN($B$9,C306-F306))</f>
        <v/>
      </c>
      <c r="H306" s="16" t="n"/>
      <c r="I306" s="15">
        <f>MAX(0,C306-F306-G306-MIN(N(H306),MAX(0,C306-F306-G306)))</f>
        <v/>
      </c>
      <c r="J306" s="17">
        <f>L305</f>
        <v/>
      </c>
      <c r="K306" s="17">
        <f>ROUND(J306*M306/1200,0)</f>
        <v/>
      </c>
      <c r="L306" s="17">
        <f>MAX(0,J306-(MIN($B$12,J306+K306)-K306))</f>
        <v/>
      </c>
      <c r="M306" s="18">
        <f>M305</f>
        <v/>
      </c>
    </row>
    <row r="307">
      <c r="A307" t="n">
        <v>286</v>
      </c>
      <c r="B307" s="14">
        <f>EDATE($B$8,285)</f>
        <v/>
      </c>
      <c r="C307" s="15">
        <f>I306</f>
        <v/>
      </c>
      <c r="D307" s="15">
        <f>IF(C307&lt;=0,0,MIN($B$12,C307+E307))</f>
        <v/>
      </c>
      <c r="E307" s="15">
        <f>ROUND(C307*M307/1200,0)</f>
        <v/>
      </c>
      <c r="F307" s="15">
        <f>D307-E307</f>
        <v/>
      </c>
      <c r="G307" s="15">
        <f>IF(C307&lt;=0,0,MIN($B$9,C307-F307))</f>
        <v/>
      </c>
      <c r="H307" s="16" t="n"/>
      <c r="I307" s="15">
        <f>MAX(0,C307-F307-G307-MIN(N(H307),MAX(0,C307-F307-G307)))</f>
        <v/>
      </c>
      <c r="J307" s="17">
        <f>L306</f>
        <v/>
      </c>
      <c r="K307" s="17">
        <f>ROUND(J307*M307/1200,0)</f>
        <v/>
      </c>
      <c r="L307" s="17">
        <f>MAX(0,J307-(MIN($B$12,J307+K307)-K307))</f>
        <v/>
      </c>
      <c r="M307" s="18">
        <f>M306</f>
        <v/>
      </c>
    </row>
    <row r="308">
      <c r="A308" t="n">
        <v>287</v>
      </c>
      <c r="B308" s="14">
        <f>EDATE($B$8,286)</f>
        <v/>
      </c>
      <c r="C308" s="15">
        <f>I307</f>
        <v/>
      </c>
      <c r="D308" s="15">
        <f>IF(C308&lt;=0,0,MIN($B$12,C308+E308))</f>
        <v/>
      </c>
      <c r="E308" s="15">
        <f>ROUND(C308*M308/1200,0)</f>
        <v/>
      </c>
      <c r="F308" s="15">
        <f>D308-E308</f>
        <v/>
      </c>
      <c r="G308" s="15">
        <f>IF(C308&lt;=0,0,MIN($B$9,C308-F308))</f>
        <v/>
      </c>
      <c r="H308" s="16" t="n"/>
      <c r="I308" s="15">
        <f>MAX(0,C308-F308-G308-MIN(N(H308),MAX(0,C308-F308-G308)))</f>
        <v/>
      </c>
      <c r="J308" s="17">
        <f>L307</f>
        <v/>
      </c>
      <c r="K308" s="17">
        <f>ROUND(J308*M308/1200,0)</f>
        <v/>
      </c>
      <c r="L308" s="17">
        <f>MAX(0,J308-(MIN($B$12,J308+K308)-K308))</f>
        <v/>
      </c>
      <c r="M308" s="18">
        <f>M307</f>
        <v/>
      </c>
    </row>
    <row r="309">
      <c r="A309" t="n">
        <v>288</v>
      </c>
      <c r="B309" s="14">
        <f>EDATE($B$8,287)</f>
        <v/>
      </c>
      <c r="C309" s="15">
        <f>I308</f>
        <v/>
      </c>
      <c r="D309" s="15">
        <f>IF(C309&lt;=0,0,MIN($B$12,C309+E309))</f>
        <v/>
      </c>
      <c r="E309" s="15">
        <f>ROUND(C309*M309/1200,0)</f>
        <v/>
      </c>
      <c r="F309" s="15">
        <f>D309-E309</f>
        <v/>
      </c>
      <c r="G309" s="15">
        <f>IF(C309&lt;=0,0,MIN($B$9,C309-F309))</f>
        <v/>
      </c>
      <c r="H309" s="16" t="n"/>
      <c r="I309" s="15">
        <f>MAX(0,C309-F309-G309-MIN(N(H309),MAX(0,C309-F309-G309)))</f>
        <v/>
      </c>
      <c r="J309" s="17">
        <f>L308</f>
        <v/>
      </c>
      <c r="K309" s="17">
        <f>ROUND(J309*M309/1200,0)</f>
        <v/>
      </c>
      <c r="L309" s="17">
        <f>MAX(0,J309-(MIN($B$12,J309+K309)-K309))</f>
        <v/>
      </c>
      <c r="M309" s="18">
        <f>M308</f>
        <v/>
      </c>
    </row>
    <row r="310">
      <c r="A310" t="n">
        <v>289</v>
      </c>
      <c r="B310" s="14">
        <f>EDATE($B$8,288)</f>
        <v/>
      </c>
      <c r="C310" s="15">
        <f>I309</f>
        <v/>
      </c>
      <c r="D310" s="15">
        <f>IF(C310&lt;=0,0,MIN($B$12,C310+E310))</f>
        <v/>
      </c>
      <c r="E310" s="15">
        <f>ROUND(C310*M310/1200,0)</f>
        <v/>
      </c>
      <c r="F310" s="15">
        <f>D310-E310</f>
        <v/>
      </c>
      <c r="G310" s="15">
        <f>IF(C310&lt;=0,0,MIN($B$9,C310-F310))</f>
        <v/>
      </c>
      <c r="H310" s="16" t="n"/>
      <c r="I310" s="15">
        <f>MAX(0,C310-F310-G310-MIN(N(H310),MAX(0,C310-F310-G310)))</f>
        <v/>
      </c>
      <c r="J310" s="17">
        <f>L309</f>
        <v/>
      </c>
      <c r="K310" s="17">
        <f>ROUND(J310*M310/1200,0)</f>
        <v/>
      </c>
      <c r="L310" s="17">
        <f>MAX(0,J310-(MIN($B$12,J310+K310)-K310))</f>
        <v/>
      </c>
      <c r="M310" s="18">
        <f>M309</f>
        <v/>
      </c>
    </row>
    <row r="311">
      <c r="A311" t="n">
        <v>290</v>
      </c>
      <c r="B311" s="14">
        <f>EDATE($B$8,289)</f>
        <v/>
      </c>
      <c r="C311" s="15">
        <f>I310</f>
        <v/>
      </c>
      <c r="D311" s="15">
        <f>IF(C311&lt;=0,0,MIN($B$12,C311+E311))</f>
        <v/>
      </c>
      <c r="E311" s="15">
        <f>ROUND(C311*M311/1200,0)</f>
        <v/>
      </c>
      <c r="F311" s="15">
        <f>D311-E311</f>
        <v/>
      </c>
      <c r="G311" s="15">
        <f>IF(C311&lt;=0,0,MIN($B$9,C311-F311))</f>
        <v/>
      </c>
      <c r="H311" s="16" t="n"/>
      <c r="I311" s="15">
        <f>MAX(0,C311-F311-G311-MIN(N(H311),MAX(0,C311-F311-G311)))</f>
        <v/>
      </c>
      <c r="J311" s="17">
        <f>L310</f>
        <v/>
      </c>
      <c r="K311" s="17">
        <f>ROUND(J311*M311/1200,0)</f>
        <v/>
      </c>
      <c r="L311" s="17">
        <f>MAX(0,J311-(MIN($B$12,J311+K311)-K311))</f>
        <v/>
      </c>
      <c r="M311" s="18">
        <f>M310</f>
        <v/>
      </c>
    </row>
    <row r="312">
      <c r="A312" t="n">
        <v>291</v>
      </c>
      <c r="B312" s="14">
        <f>EDATE($B$8,290)</f>
        <v/>
      </c>
      <c r="C312" s="15">
        <f>I311</f>
        <v/>
      </c>
      <c r="D312" s="15">
        <f>IF(C312&lt;=0,0,MIN($B$12,C312+E312))</f>
        <v/>
      </c>
      <c r="E312" s="15">
        <f>ROUND(C312*M312/1200,0)</f>
        <v/>
      </c>
      <c r="F312" s="15">
        <f>D312-E312</f>
        <v/>
      </c>
      <c r="G312" s="15">
        <f>IF(C312&lt;=0,0,MIN($B$9,C312-F312))</f>
        <v/>
      </c>
      <c r="H312" s="16" t="n"/>
      <c r="I312" s="15">
        <f>MAX(0,C312-F312-G312-MIN(N(H312),MAX(0,C312-F312-G312)))</f>
        <v/>
      </c>
      <c r="J312" s="17">
        <f>L311</f>
        <v/>
      </c>
      <c r="K312" s="17">
        <f>ROUND(J312*M312/1200,0)</f>
        <v/>
      </c>
      <c r="L312" s="17">
        <f>MAX(0,J312-(MIN($B$12,J312+K312)-K312))</f>
        <v/>
      </c>
      <c r="M312" s="18">
        <f>M311</f>
        <v/>
      </c>
    </row>
    <row r="313">
      <c r="A313" t="n">
        <v>292</v>
      </c>
      <c r="B313" s="14">
        <f>EDATE($B$8,291)</f>
        <v/>
      </c>
      <c r="C313" s="15">
        <f>I312</f>
        <v/>
      </c>
      <c r="D313" s="15">
        <f>IF(C313&lt;=0,0,MIN($B$12,C313+E313))</f>
        <v/>
      </c>
      <c r="E313" s="15">
        <f>ROUND(C313*M313/1200,0)</f>
        <v/>
      </c>
      <c r="F313" s="15">
        <f>D313-E313</f>
        <v/>
      </c>
      <c r="G313" s="15">
        <f>IF(C313&lt;=0,0,MIN($B$9,C313-F313))</f>
        <v/>
      </c>
      <c r="H313" s="16" t="n"/>
      <c r="I313" s="15">
        <f>MAX(0,C313-F313-G313-MIN(N(H313),MAX(0,C313-F313-G313)))</f>
        <v/>
      </c>
      <c r="J313" s="17">
        <f>L312</f>
        <v/>
      </c>
      <c r="K313" s="17">
        <f>ROUND(J313*M313/1200,0)</f>
        <v/>
      </c>
      <c r="L313" s="17">
        <f>MAX(0,J313-(MIN($B$12,J313+K313)-K313))</f>
        <v/>
      </c>
      <c r="M313" s="18">
        <f>M312</f>
        <v/>
      </c>
    </row>
    <row r="314">
      <c r="A314" t="n">
        <v>293</v>
      </c>
      <c r="B314" s="14">
        <f>EDATE($B$8,292)</f>
        <v/>
      </c>
      <c r="C314" s="15">
        <f>I313</f>
        <v/>
      </c>
      <c r="D314" s="15">
        <f>IF(C314&lt;=0,0,MIN($B$12,C314+E314))</f>
        <v/>
      </c>
      <c r="E314" s="15">
        <f>ROUND(C314*M314/1200,0)</f>
        <v/>
      </c>
      <c r="F314" s="15">
        <f>D314-E314</f>
        <v/>
      </c>
      <c r="G314" s="15">
        <f>IF(C314&lt;=0,0,MIN($B$9,C314-F314))</f>
        <v/>
      </c>
      <c r="H314" s="16" t="n"/>
      <c r="I314" s="15">
        <f>MAX(0,C314-F314-G314-MIN(N(H314),MAX(0,C314-F314-G314)))</f>
        <v/>
      </c>
      <c r="J314" s="17">
        <f>L313</f>
        <v/>
      </c>
      <c r="K314" s="17">
        <f>ROUND(J314*M314/1200,0)</f>
        <v/>
      </c>
      <c r="L314" s="17">
        <f>MAX(0,J314-(MIN($B$12,J314+K314)-K314))</f>
        <v/>
      </c>
      <c r="M314" s="18">
        <f>M313</f>
        <v/>
      </c>
    </row>
    <row r="315">
      <c r="A315" t="n">
        <v>294</v>
      </c>
      <c r="B315" s="14">
        <f>EDATE($B$8,293)</f>
        <v/>
      </c>
      <c r="C315" s="15">
        <f>I314</f>
        <v/>
      </c>
      <c r="D315" s="15">
        <f>IF(C315&lt;=0,0,MIN($B$12,C315+E315))</f>
        <v/>
      </c>
      <c r="E315" s="15">
        <f>ROUND(C315*M315/1200,0)</f>
        <v/>
      </c>
      <c r="F315" s="15">
        <f>D315-E315</f>
        <v/>
      </c>
      <c r="G315" s="15">
        <f>IF(C315&lt;=0,0,MIN($B$9,C315-F315))</f>
        <v/>
      </c>
      <c r="H315" s="16" t="n"/>
      <c r="I315" s="15">
        <f>MAX(0,C315-F315-G315-MIN(N(H315),MAX(0,C315-F315-G315)))</f>
        <v/>
      </c>
      <c r="J315" s="17">
        <f>L314</f>
        <v/>
      </c>
      <c r="K315" s="17">
        <f>ROUND(J315*M315/1200,0)</f>
        <v/>
      </c>
      <c r="L315" s="17">
        <f>MAX(0,J315-(MIN($B$12,J315+K315)-K315))</f>
        <v/>
      </c>
      <c r="M315" s="18">
        <f>M314</f>
        <v/>
      </c>
    </row>
    <row r="316">
      <c r="A316" t="n">
        <v>295</v>
      </c>
      <c r="B316" s="14">
        <f>EDATE($B$8,294)</f>
        <v/>
      </c>
      <c r="C316" s="15">
        <f>I315</f>
        <v/>
      </c>
      <c r="D316" s="15">
        <f>IF(C316&lt;=0,0,MIN($B$12,C316+E316))</f>
        <v/>
      </c>
      <c r="E316" s="15">
        <f>ROUND(C316*M316/1200,0)</f>
        <v/>
      </c>
      <c r="F316" s="15">
        <f>D316-E316</f>
        <v/>
      </c>
      <c r="G316" s="15">
        <f>IF(C316&lt;=0,0,MIN($B$9,C316-F316))</f>
        <v/>
      </c>
      <c r="H316" s="16" t="n"/>
      <c r="I316" s="15">
        <f>MAX(0,C316-F316-G316-MIN(N(H316),MAX(0,C316-F316-G316)))</f>
        <v/>
      </c>
      <c r="J316" s="17">
        <f>L315</f>
        <v/>
      </c>
      <c r="K316" s="17">
        <f>ROUND(J316*M316/1200,0)</f>
        <v/>
      </c>
      <c r="L316" s="17">
        <f>MAX(0,J316-(MIN($B$12,J316+K316)-K316))</f>
        <v/>
      </c>
      <c r="M316" s="18">
        <f>M315</f>
        <v/>
      </c>
    </row>
    <row r="317">
      <c r="A317" t="n">
        <v>296</v>
      </c>
      <c r="B317" s="14">
        <f>EDATE($B$8,295)</f>
        <v/>
      </c>
      <c r="C317" s="15">
        <f>I316</f>
        <v/>
      </c>
      <c r="D317" s="15">
        <f>IF(C317&lt;=0,0,MIN($B$12,C317+E317))</f>
        <v/>
      </c>
      <c r="E317" s="15">
        <f>ROUND(C317*M317/1200,0)</f>
        <v/>
      </c>
      <c r="F317" s="15">
        <f>D317-E317</f>
        <v/>
      </c>
      <c r="G317" s="15">
        <f>IF(C317&lt;=0,0,MIN($B$9,C317-F317))</f>
        <v/>
      </c>
      <c r="H317" s="16" t="n"/>
      <c r="I317" s="15">
        <f>MAX(0,C317-F317-G317-MIN(N(H317),MAX(0,C317-F317-G317)))</f>
        <v/>
      </c>
      <c r="J317" s="17">
        <f>L316</f>
        <v/>
      </c>
      <c r="K317" s="17">
        <f>ROUND(J317*M317/1200,0)</f>
        <v/>
      </c>
      <c r="L317" s="17">
        <f>MAX(0,J317-(MIN($B$12,J317+K317)-K317))</f>
        <v/>
      </c>
      <c r="M317" s="18">
        <f>M316</f>
        <v/>
      </c>
    </row>
    <row r="318">
      <c r="A318" t="n">
        <v>297</v>
      </c>
      <c r="B318" s="14">
        <f>EDATE($B$8,296)</f>
        <v/>
      </c>
      <c r="C318" s="15">
        <f>I317</f>
        <v/>
      </c>
      <c r="D318" s="15">
        <f>IF(C318&lt;=0,0,MIN($B$12,C318+E318))</f>
        <v/>
      </c>
      <c r="E318" s="15">
        <f>ROUND(C318*M318/1200,0)</f>
        <v/>
      </c>
      <c r="F318" s="15">
        <f>D318-E318</f>
        <v/>
      </c>
      <c r="G318" s="15">
        <f>IF(C318&lt;=0,0,MIN($B$9,C318-F318))</f>
        <v/>
      </c>
      <c r="H318" s="16" t="n"/>
      <c r="I318" s="15">
        <f>MAX(0,C318-F318-G318-MIN(N(H318),MAX(0,C318-F318-G318)))</f>
        <v/>
      </c>
      <c r="J318" s="17">
        <f>L317</f>
        <v/>
      </c>
      <c r="K318" s="17">
        <f>ROUND(J318*M318/1200,0)</f>
        <v/>
      </c>
      <c r="L318" s="17">
        <f>MAX(0,J318-(MIN($B$12,J318+K318)-K318))</f>
        <v/>
      </c>
      <c r="M318" s="18">
        <f>M317</f>
        <v/>
      </c>
    </row>
    <row r="319">
      <c r="A319" t="n">
        <v>298</v>
      </c>
      <c r="B319" s="14">
        <f>EDATE($B$8,297)</f>
        <v/>
      </c>
      <c r="C319" s="15">
        <f>I318</f>
        <v/>
      </c>
      <c r="D319" s="15">
        <f>IF(C319&lt;=0,0,MIN($B$12,C319+E319))</f>
        <v/>
      </c>
      <c r="E319" s="15">
        <f>ROUND(C319*M319/1200,0)</f>
        <v/>
      </c>
      <c r="F319" s="15">
        <f>D319-E319</f>
        <v/>
      </c>
      <c r="G319" s="15">
        <f>IF(C319&lt;=0,0,MIN($B$9,C319-F319))</f>
        <v/>
      </c>
      <c r="H319" s="16" t="n"/>
      <c r="I319" s="15">
        <f>MAX(0,C319-F319-G319-MIN(N(H319),MAX(0,C319-F319-G319)))</f>
        <v/>
      </c>
      <c r="J319" s="17">
        <f>L318</f>
        <v/>
      </c>
      <c r="K319" s="17">
        <f>ROUND(J319*M319/1200,0)</f>
        <v/>
      </c>
      <c r="L319" s="17">
        <f>MAX(0,J319-(MIN($B$12,J319+K319)-K319))</f>
        <v/>
      </c>
      <c r="M319" s="18">
        <f>M318</f>
        <v/>
      </c>
    </row>
    <row r="320">
      <c r="A320" t="n">
        <v>299</v>
      </c>
      <c r="B320" s="14">
        <f>EDATE($B$8,298)</f>
        <v/>
      </c>
      <c r="C320" s="15">
        <f>I319</f>
        <v/>
      </c>
      <c r="D320" s="15">
        <f>IF(C320&lt;=0,0,MIN($B$12,C320+E320))</f>
        <v/>
      </c>
      <c r="E320" s="15">
        <f>ROUND(C320*M320/1200,0)</f>
        <v/>
      </c>
      <c r="F320" s="15">
        <f>D320-E320</f>
        <v/>
      </c>
      <c r="G320" s="15">
        <f>IF(C320&lt;=0,0,MIN($B$9,C320-F320))</f>
        <v/>
      </c>
      <c r="H320" s="16" t="n"/>
      <c r="I320" s="15">
        <f>MAX(0,C320-F320-G320-MIN(N(H320),MAX(0,C320-F320-G320)))</f>
        <v/>
      </c>
      <c r="J320" s="17">
        <f>L319</f>
        <v/>
      </c>
      <c r="K320" s="17">
        <f>ROUND(J320*M320/1200,0)</f>
        <v/>
      </c>
      <c r="L320" s="17">
        <f>MAX(0,J320-(MIN($B$12,J320+K320)-K320))</f>
        <v/>
      </c>
      <c r="M320" s="18">
        <f>M319</f>
        <v/>
      </c>
    </row>
    <row r="321">
      <c r="A321" t="n">
        <v>300</v>
      </c>
      <c r="B321" s="14">
        <f>EDATE($B$8,299)</f>
        <v/>
      </c>
      <c r="C321" s="15">
        <f>I320</f>
        <v/>
      </c>
      <c r="D321" s="15">
        <f>IF(C321&lt;=0,0,MIN($B$12,C321+E321))</f>
        <v/>
      </c>
      <c r="E321" s="15">
        <f>ROUND(C321*M321/1200,0)</f>
        <v/>
      </c>
      <c r="F321" s="15">
        <f>D321-E321</f>
        <v/>
      </c>
      <c r="G321" s="15">
        <f>IF(C321&lt;=0,0,MIN($B$9,C321-F321))</f>
        <v/>
      </c>
      <c r="H321" s="16" t="n"/>
      <c r="I321" s="15">
        <f>MAX(0,C321-F321-G321-MIN(N(H321),MAX(0,C321-F321-G321)))</f>
        <v/>
      </c>
      <c r="J321" s="17">
        <f>L320</f>
        <v/>
      </c>
      <c r="K321" s="17">
        <f>ROUND(J321*M321/1200,0)</f>
        <v/>
      </c>
      <c r="L321" s="17">
        <f>MAX(0,J321-(MIN($B$12,J321+K321)-K321))</f>
        <v/>
      </c>
      <c r="M321" s="18">
        <f>M320</f>
        <v/>
      </c>
    </row>
    <row r="322">
      <c r="A322" t="n">
        <v>301</v>
      </c>
      <c r="B322" s="14">
        <f>EDATE($B$8,300)</f>
        <v/>
      </c>
      <c r="C322" s="15">
        <f>I321</f>
        <v/>
      </c>
      <c r="D322" s="15">
        <f>IF(C322&lt;=0,0,MIN($B$12,C322+E322))</f>
        <v/>
      </c>
      <c r="E322" s="15">
        <f>ROUND(C322*M322/1200,0)</f>
        <v/>
      </c>
      <c r="F322" s="15">
        <f>D322-E322</f>
        <v/>
      </c>
      <c r="G322" s="15">
        <f>IF(C322&lt;=0,0,MIN($B$9,C322-F322))</f>
        <v/>
      </c>
      <c r="H322" s="16" t="n"/>
      <c r="I322" s="15">
        <f>MAX(0,C322-F322-G322-MIN(N(H322),MAX(0,C322-F322-G322)))</f>
        <v/>
      </c>
      <c r="J322" s="17">
        <f>L321</f>
        <v/>
      </c>
      <c r="K322" s="17">
        <f>ROUND(J322*M322/1200,0)</f>
        <v/>
      </c>
      <c r="L322" s="17">
        <f>MAX(0,J322-(MIN($B$12,J322+K322)-K322))</f>
        <v/>
      </c>
      <c r="M322" s="18">
        <f>M321</f>
        <v/>
      </c>
    </row>
    <row r="323">
      <c r="A323" t="n">
        <v>302</v>
      </c>
      <c r="B323" s="14">
        <f>EDATE($B$8,301)</f>
        <v/>
      </c>
      <c r="C323" s="15">
        <f>I322</f>
        <v/>
      </c>
      <c r="D323" s="15">
        <f>IF(C323&lt;=0,0,MIN($B$12,C323+E323))</f>
        <v/>
      </c>
      <c r="E323" s="15">
        <f>ROUND(C323*M323/1200,0)</f>
        <v/>
      </c>
      <c r="F323" s="15">
        <f>D323-E323</f>
        <v/>
      </c>
      <c r="G323" s="15">
        <f>IF(C323&lt;=0,0,MIN($B$9,C323-F323))</f>
        <v/>
      </c>
      <c r="H323" s="16" t="n"/>
      <c r="I323" s="15">
        <f>MAX(0,C323-F323-G323-MIN(N(H323),MAX(0,C323-F323-G323)))</f>
        <v/>
      </c>
      <c r="J323" s="17">
        <f>L322</f>
        <v/>
      </c>
      <c r="K323" s="17">
        <f>ROUND(J323*M323/1200,0)</f>
        <v/>
      </c>
      <c r="L323" s="17">
        <f>MAX(0,J323-(MIN($B$12,J323+K323)-K323))</f>
        <v/>
      </c>
      <c r="M323" s="18">
        <f>M322</f>
        <v/>
      </c>
    </row>
    <row r="324">
      <c r="A324" t="n">
        <v>303</v>
      </c>
      <c r="B324" s="14">
        <f>EDATE($B$8,302)</f>
        <v/>
      </c>
      <c r="C324" s="15">
        <f>I323</f>
        <v/>
      </c>
      <c r="D324" s="15">
        <f>IF(C324&lt;=0,0,MIN($B$12,C324+E324))</f>
        <v/>
      </c>
      <c r="E324" s="15">
        <f>ROUND(C324*M324/1200,0)</f>
        <v/>
      </c>
      <c r="F324" s="15">
        <f>D324-E324</f>
        <v/>
      </c>
      <c r="G324" s="15">
        <f>IF(C324&lt;=0,0,MIN($B$9,C324-F324))</f>
        <v/>
      </c>
      <c r="H324" s="16" t="n"/>
      <c r="I324" s="15">
        <f>MAX(0,C324-F324-G324-MIN(N(H324),MAX(0,C324-F324-G324)))</f>
        <v/>
      </c>
      <c r="J324" s="17">
        <f>L323</f>
        <v/>
      </c>
      <c r="K324" s="17">
        <f>ROUND(J324*M324/1200,0)</f>
        <v/>
      </c>
      <c r="L324" s="17">
        <f>MAX(0,J324-(MIN($B$12,J324+K324)-K324))</f>
        <v/>
      </c>
      <c r="M324" s="18">
        <f>M323</f>
        <v/>
      </c>
    </row>
    <row r="325">
      <c r="A325" t="n">
        <v>304</v>
      </c>
      <c r="B325" s="14">
        <f>EDATE($B$8,303)</f>
        <v/>
      </c>
      <c r="C325" s="15">
        <f>I324</f>
        <v/>
      </c>
      <c r="D325" s="15">
        <f>IF(C325&lt;=0,0,MIN($B$12,C325+E325))</f>
        <v/>
      </c>
      <c r="E325" s="15">
        <f>ROUND(C325*M325/1200,0)</f>
        <v/>
      </c>
      <c r="F325" s="15">
        <f>D325-E325</f>
        <v/>
      </c>
      <c r="G325" s="15">
        <f>IF(C325&lt;=0,0,MIN($B$9,C325-F325))</f>
        <v/>
      </c>
      <c r="H325" s="16" t="n"/>
      <c r="I325" s="15">
        <f>MAX(0,C325-F325-G325-MIN(N(H325),MAX(0,C325-F325-G325)))</f>
        <v/>
      </c>
      <c r="J325" s="17">
        <f>L324</f>
        <v/>
      </c>
      <c r="K325" s="17">
        <f>ROUND(J325*M325/1200,0)</f>
        <v/>
      </c>
      <c r="L325" s="17">
        <f>MAX(0,J325-(MIN($B$12,J325+K325)-K325))</f>
        <v/>
      </c>
      <c r="M325" s="18">
        <f>M324</f>
        <v/>
      </c>
    </row>
    <row r="326">
      <c r="A326" t="n">
        <v>305</v>
      </c>
      <c r="B326" s="14">
        <f>EDATE($B$8,304)</f>
        <v/>
      </c>
      <c r="C326" s="15">
        <f>I325</f>
        <v/>
      </c>
      <c r="D326" s="15">
        <f>IF(C326&lt;=0,0,MIN($B$12,C326+E326))</f>
        <v/>
      </c>
      <c r="E326" s="15">
        <f>ROUND(C326*M326/1200,0)</f>
        <v/>
      </c>
      <c r="F326" s="15">
        <f>D326-E326</f>
        <v/>
      </c>
      <c r="G326" s="15">
        <f>IF(C326&lt;=0,0,MIN($B$9,C326-F326))</f>
        <v/>
      </c>
      <c r="H326" s="16" t="n"/>
      <c r="I326" s="15">
        <f>MAX(0,C326-F326-G326-MIN(N(H326),MAX(0,C326-F326-G326)))</f>
        <v/>
      </c>
      <c r="J326" s="17">
        <f>L325</f>
        <v/>
      </c>
      <c r="K326" s="17">
        <f>ROUND(J326*M326/1200,0)</f>
        <v/>
      </c>
      <c r="L326" s="17">
        <f>MAX(0,J326-(MIN($B$12,J326+K326)-K326))</f>
        <v/>
      </c>
      <c r="M326" s="18">
        <f>M325</f>
        <v/>
      </c>
    </row>
    <row r="327">
      <c r="A327" t="n">
        <v>306</v>
      </c>
      <c r="B327" s="14">
        <f>EDATE($B$8,305)</f>
        <v/>
      </c>
      <c r="C327" s="15">
        <f>I326</f>
        <v/>
      </c>
      <c r="D327" s="15">
        <f>IF(C327&lt;=0,0,MIN($B$12,C327+E327))</f>
        <v/>
      </c>
      <c r="E327" s="15">
        <f>ROUND(C327*M327/1200,0)</f>
        <v/>
      </c>
      <c r="F327" s="15">
        <f>D327-E327</f>
        <v/>
      </c>
      <c r="G327" s="15">
        <f>IF(C327&lt;=0,0,MIN($B$9,C327-F327))</f>
        <v/>
      </c>
      <c r="H327" s="16" t="n"/>
      <c r="I327" s="15">
        <f>MAX(0,C327-F327-G327-MIN(N(H327),MAX(0,C327-F327-G327)))</f>
        <v/>
      </c>
      <c r="J327" s="17">
        <f>L326</f>
        <v/>
      </c>
      <c r="K327" s="17">
        <f>ROUND(J327*M327/1200,0)</f>
        <v/>
      </c>
      <c r="L327" s="17">
        <f>MAX(0,J327-(MIN($B$12,J327+K327)-K327))</f>
        <v/>
      </c>
      <c r="M327" s="18">
        <f>M326</f>
        <v/>
      </c>
    </row>
    <row r="328">
      <c r="A328" t="n">
        <v>307</v>
      </c>
      <c r="B328" s="14">
        <f>EDATE($B$8,306)</f>
        <v/>
      </c>
      <c r="C328" s="15">
        <f>I327</f>
        <v/>
      </c>
      <c r="D328" s="15">
        <f>IF(C328&lt;=0,0,MIN($B$12,C328+E328))</f>
        <v/>
      </c>
      <c r="E328" s="15">
        <f>ROUND(C328*M328/1200,0)</f>
        <v/>
      </c>
      <c r="F328" s="15">
        <f>D328-E328</f>
        <v/>
      </c>
      <c r="G328" s="15">
        <f>IF(C328&lt;=0,0,MIN($B$9,C328-F328))</f>
        <v/>
      </c>
      <c r="H328" s="16" t="n"/>
      <c r="I328" s="15">
        <f>MAX(0,C328-F328-G328-MIN(N(H328),MAX(0,C328-F328-G328)))</f>
        <v/>
      </c>
      <c r="J328" s="17">
        <f>L327</f>
        <v/>
      </c>
      <c r="K328" s="17">
        <f>ROUND(J328*M328/1200,0)</f>
        <v/>
      </c>
      <c r="L328" s="17">
        <f>MAX(0,J328-(MIN($B$12,J328+K328)-K328))</f>
        <v/>
      </c>
      <c r="M328" s="18">
        <f>M327</f>
        <v/>
      </c>
    </row>
    <row r="329">
      <c r="A329" t="n">
        <v>308</v>
      </c>
      <c r="B329" s="14">
        <f>EDATE($B$8,307)</f>
        <v/>
      </c>
      <c r="C329" s="15">
        <f>I328</f>
        <v/>
      </c>
      <c r="D329" s="15">
        <f>IF(C329&lt;=0,0,MIN($B$12,C329+E329))</f>
        <v/>
      </c>
      <c r="E329" s="15">
        <f>ROUND(C329*M329/1200,0)</f>
        <v/>
      </c>
      <c r="F329" s="15">
        <f>D329-E329</f>
        <v/>
      </c>
      <c r="G329" s="15">
        <f>IF(C329&lt;=0,0,MIN($B$9,C329-F329))</f>
        <v/>
      </c>
      <c r="H329" s="16" t="n"/>
      <c r="I329" s="15">
        <f>MAX(0,C329-F329-G329-MIN(N(H329),MAX(0,C329-F329-G329)))</f>
        <v/>
      </c>
      <c r="J329" s="17">
        <f>L328</f>
        <v/>
      </c>
      <c r="K329" s="17">
        <f>ROUND(J329*M329/1200,0)</f>
        <v/>
      </c>
      <c r="L329" s="17">
        <f>MAX(0,J329-(MIN($B$12,J329+K329)-K329))</f>
        <v/>
      </c>
      <c r="M329" s="18">
        <f>M328</f>
        <v/>
      </c>
    </row>
    <row r="330">
      <c r="A330" t="n">
        <v>309</v>
      </c>
      <c r="B330" s="14">
        <f>EDATE($B$8,308)</f>
        <v/>
      </c>
      <c r="C330" s="15">
        <f>I329</f>
        <v/>
      </c>
      <c r="D330" s="15">
        <f>IF(C330&lt;=0,0,MIN($B$12,C330+E330))</f>
        <v/>
      </c>
      <c r="E330" s="15">
        <f>ROUND(C330*M330/1200,0)</f>
        <v/>
      </c>
      <c r="F330" s="15">
        <f>D330-E330</f>
        <v/>
      </c>
      <c r="G330" s="15">
        <f>IF(C330&lt;=0,0,MIN($B$9,C330-F330))</f>
        <v/>
      </c>
      <c r="H330" s="16" t="n"/>
      <c r="I330" s="15">
        <f>MAX(0,C330-F330-G330-MIN(N(H330),MAX(0,C330-F330-G330)))</f>
        <v/>
      </c>
      <c r="J330" s="17">
        <f>L329</f>
        <v/>
      </c>
      <c r="K330" s="17">
        <f>ROUND(J330*M330/1200,0)</f>
        <v/>
      </c>
      <c r="L330" s="17">
        <f>MAX(0,J330-(MIN($B$12,J330+K330)-K330))</f>
        <v/>
      </c>
      <c r="M330" s="18">
        <f>M329</f>
        <v/>
      </c>
    </row>
    <row r="331">
      <c r="A331" t="n">
        <v>310</v>
      </c>
      <c r="B331" s="14">
        <f>EDATE($B$8,309)</f>
        <v/>
      </c>
      <c r="C331" s="15">
        <f>I330</f>
        <v/>
      </c>
      <c r="D331" s="15">
        <f>IF(C331&lt;=0,0,MIN($B$12,C331+E331))</f>
        <v/>
      </c>
      <c r="E331" s="15">
        <f>ROUND(C331*M331/1200,0)</f>
        <v/>
      </c>
      <c r="F331" s="15">
        <f>D331-E331</f>
        <v/>
      </c>
      <c r="G331" s="15">
        <f>IF(C331&lt;=0,0,MIN($B$9,C331-F331))</f>
        <v/>
      </c>
      <c r="H331" s="16" t="n"/>
      <c r="I331" s="15">
        <f>MAX(0,C331-F331-G331-MIN(N(H331),MAX(0,C331-F331-G331)))</f>
        <v/>
      </c>
      <c r="J331" s="17">
        <f>L330</f>
        <v/>
      </c>
      <c r="K331" s="17">
        <f>ROUND(J331*M331/1200,0)</f>
        <v/>
      </c>
      <c r="L331" s="17">
        <f>MAX(0,J331-(MIN($B$12,J331+K331)-K331))</f>
        <v/>
      </c>
      <c r="M331" s="18">
        <f>M330</f>
        <v/>
      </c>
    </row>
    <row r="332">
      <c r="A332" t="n">
        <v>311</v>
      </c>
      <c r="B332" s="14">
        <f>EDATE($B$8,310)</f>
        <v/>
      </c>
      <c r="C332" s="15">
        <f>I331</f>
        <v/>
      </c>
      <c r="D332" s="15">
        <f>IF(C332&lt;=0,0,MIN($B$12,C332+E332))</f>
        <v/>
      </c>
      <c r="E332" s="15">
        <f>ROUND(C332*M332/1200,0)</f>
        <v/>
      </c>
      <c r="F332" s="15">
        <f>D332-E332</f>
        <v/>
      </c>
      <c r="G332" s="15">
        <f>IF(C332&lt;=0,0,MIN($B$9,C332-F332))</f>
        <v/>
      </c>
      <c r="H332" s="16" t="n"/>
      <c r="I332" s="15">
        <f>MAX(0,C332-F332-G332-MIN(N(H332),MAX(0,C332-F332-G332)))</f>
        <v/>
      </c>
      <c r="J332" s="17">
        <f>L331</f>
        <v/>
      </c>
      <c r="K332" s="17">
        <f>ROUND(J332*M332/1200,0)</f>
        <v/>
      </c>
      <c r="L332" s="17">
        <f>MAX(0,J332-(MIN($B$12,J332+K332)-K332))</f>
        <v/>
      </c>
      <c r="M332" s="18">
        <f>M331</f>
        <v/>
      </c>
    </row>
    <row r="333">
      <c r="A333" t="n">
        <v>312</v>
      </c>
      <c r="B333" s="14">
        <f>EDATE($B$8,311)</f>
        <v/>
      </c>
      <c r="C333" s="15">
        <f>I332</f>
        <v/>
      </c>
      <c r="D333" s="15">
        <f>IF(C333&lt;=0,0,MIN($B$12,C333+E333))</f>
        <v/>
      </c>
      <c r="E333" s="15">
        <f>ROUND(C333*M333/1200,0)</f>
        <v/>
      </c>
      <c r="F333" s="15">
        <f>D333-E333</f>
        <v/>
      </c>
      <c r="G333" s="15">
        <f>IF(C333&lt;=0,0,MIN($B$9,C333-F333))</f>
        <v/>
      </c>
      <c r="H333" s="16" t="n"/>
      <c r="I333" s="15">
        <f>MAX(0,C333-F333-G333-MIN(N(H333),MAX(0,C333-F333-G333)))</f>
        <v/>
      </c>
      <c r="J333" s="17">
        <f>L332</f>
        <v/>
      </c>
      <c r="K333" s="17">
        <f>ROUND(J333*M333/1200,0)</f>
        <v/>
      </c>
      <c r="L333" s="17">
        <f>MAX(0,J333-(MIN($B$12,J333+K333)-K333))</f>
        <v/>
      </c>
      <c r="M333" s="18">
        <f>M332</f>
        <v/>
      </c>
    </row>
    <row r="334">
      <c r="A334" t="n">
        <v>313</v>
      </c>
      <c r="B334" s="14">
        <f>EDATE($B$8,312)</f>
        <v/>
      </c>
      <c r="C334" s="15">
        <f>I333</f>
        <v/>
      </c>
      <c r="D334" s="15">
        <f>IF(C334&lt;=0,0,MIN($B$12,C334+E334))</f>
        <v/>
      </c>
      <c r="E334" s="15">
        <f>ROUND(C334*M334/1200,0)</f>
        <v/>
      </c>
      <c r="F334" s="15">
        <f>D334-E334</f>
        <v/>
      </c>
      <c r="G334" s="15">
        <f>IF(C334&lt;=0,0,MIN($B$9,C334-F334))</f>
        <v/>
      </c>
      <c r="H334" s="16" t="n"/>
      <c r="I334" s="15">
        <f>MAX(0,C334-F334-G334-MIN(N(H334),MAX(0,C334-F334-G334)))</f>
        <v/>
      </c>
      <c r="J334" s="17">
        <f>L333</f>
        <v/>
      </c>
      <c r="K334" s="17">
        <f>ROUND(J334*M334/1200,0)</f>
        <v/>
      </c>
      <c r="L334" s="17">
        <f>MAX(0,J334-(MIN($B$12,J334+K334)-K334))</f>
        <v/>
      </c>
      <c r="M334" s="18">
        <f>M333</f>
        <v/>
      </c>
    </row>
    <row r="335">
      <c r="A335" t="n">
        <v>314</v>
      </c>
      <c r="B335" s="14">
        <f>EDATE($B$8,313)</f>
        <v/>
      </c>
      <c r="C335" s="15">
        <f>I334</f>
        <v/>
      </c>
      <c r="D335" s="15">
        <f>IF(C335&lt;=0,0,MIN($B$12,C335+E335))</f>
        <v/>
      </c>
      <c r="E335" s="15">
        <f>ROUND(C335*M335/1200,0)</f>
        <v/>
      </c>
      <c r="F335" s="15">
        <f>D335-E335</f>
        <v/>
      </c>
      <c r="G335" s="15">
        <f>IF(C335&lt;=0,0,MIN($B$9,C335-F335))</f>
        <v/>
      </c>
      <c r="H335" s="16" t="n"/>
      <c r="I335" s="15">
        <f>MAX(0,C335-F335-G335-MIN(N(H335),MAX(0,C335-F335-G335)))</f>
        <v/>
      </c>
      <c r="J335" s="17">
        <f>L334</f>
        <v/>
      </c>
      <c r="K335" s="17">
        <f>ROUND(J335*M335/1200,0)</f>
        <v/>
      </c>
      <c r="L335" s="17">
        <f>MAX(0,J335-(MIN($B$12,J335+K335)-K335))</f>
        <v/>
      </c>
      <c r="M335" s="18">
        <f>M334</f>
        <v/>
      </c>
    </row>
    <row r="336">
      <c r="A336" t="n">
        <v>315</v>
      </c>
      <c r="B336" s="14">
        <f>EDATE($B$8,314)</f>
        <v/>
      </c>
      <c r="C336" s="15">
        <f>I335</f>
        <v/>
      </c>
      <c r="D336" s="15">
        <f>IF(C336&lt;=0,0,MIN($B$12,C336+E336))</f>
        <v/>
      </c>
      <c r="E336" s="15">
        <f>ROUND(C336*M336/1200,0)</f>
        <v/>
      </c>
      <c r="F336" s="15">
        <f>D336-E336</f>
        <v/>
      </c>
      <c r="G336" s="15">
        <f>IF(C336&lt;=0,0,MIN($B$9,C336-F336))</f>
        <v/>
      </c>
      <c r="H336" s="16" t="n"/>
      <c r="I336" s="15">
        <f>MAX(0,C336-F336-G336-MIN(N(H336),MAX(0,C336-F336-G336)))</f>
        <v/>
      </c>
      <c r="J336" s="17">
        <f>L335</f>
        <v/>
      </c>
      <c r="K336" s="17">
        <f>ROUND(J336*M336/1200,0)</f>
        <v/>
      </c>
      <c r="L336" s="17">
        <f>MAX(0,J336-(MIN($B$12,J336+K336)-K336))</f>
        <v/>
      </c>
      <c r="M336" s="18">
        <f>M335</f>
        <v/>
      </c>
    </row>
    <row r="337">
      <c r="A337" t="n">
        <v>316</v>
      </c>
      <c r="B337" s="14">
        <f>EDATE($B$8,315)</f>
        <v/>
      </c>
      <c r="C337" s="15">
        <f>I336</f>
        <v/>
      </c>
      <c r="D337" s="15">
        <f>IF(C337&lt;=0,0,MIN($B$12,C337+E337))</f>
        <v/>
      </c>
      <c r="E337" s="15">
        <f>ROUND(C337*M337/1200,0)</f>
        <v/>
      </c>
      <c r="F337" s="15">
        <f>D337-E337</f>
        <v/>
      </c>
      <c r="G337" s="15">
        <f>IF(C337&lt;=0,0,MIN($B$9,C337-F337))</f>
        <v/>
      </c>
      <c r="H337" s="16" t="n"/>
      <c r="I337" s="15">
        <f>MAX(0,C337-F337-G337-MIN(N(H337),MAX(0,C337-F337-G337)))</f>
        <v/>
      </c>
      <c r="J337" s="17">
        <f>L336</f>
        <v/>
      </c>
      <c r="K337" s="17">
        <f>ROUND(J337*M337/1200,0)</f>
        <v/>
      </c>
      <c r="L337" s="17">
        <f>MAX(0,J337-(MIN($B$12,J337+K337)-K337))</f>
        <v/>
      </c>
      <c r="M337" s="18">
        <f>M336</f>
        <v/>
      </c>
    </row>
    <row r="338">
      <c r="A338" t="n">
        <v>317</v>
      </c>
      <c r="B338" s="14">
        <f>EDATE($B$8,316)</f>
        <v/>
      </c>
      <c r="C338" s="15">
        <f>I337</f>
        <v/>
      </c>
      <c r="D338" s="15">
        <f>IF(C338&lt;=0,0,MIN($B$12,C338+E338))</f>
        <v/>
      </c>
      <c r="E338" s="15">
        <f>ROUND(C338*M338/1200,0)</f>
        <v/>
      </c>
      <c r="F338" s="15">
        <f>D338-E338</f>
        <v/>
      </c>
      <c r="G338" s="15">
        <f>IF(C338&lt;=0,0,MIN($B$9,C338-F338))</f>
        <v/>
      </c>
      <c r="H338" s="16" t="n"/>
      <c r="I338" s="15">
        <f>MAX(0,C338-F338-G338-MIN(N(H338),MAX(0,C338-F338-G338)))</f>
        <v/>
      </c>
      <c r="J338" s="17">
        <f>L337</f>
        <v/>
      </c>
      <c r="K338" s="17">
        <f>ROUND(J338*M338/1200,0)</f>
        <v/>
      </c>
      <c r="L338" s="17">
        <f>MAX(0,J338-(MIN($B$12,J338+K338)-K338))</f>
        <v/>
      </c>
      <c r="M338" s="18">
        <f>M337</f>
        <v/>
      </c>
    </row>
    <row r="339">
      <c r="A339" t="n">
        <v>318</v>
      </c>
      <c r="B339" s="14">
        <f>EDATE($B$8,317)</f>
        <v/>
      </c>
      <c r="C339" s="15">
        <f>I338</f>
        <v/>
      </c>
      <c r="D339" s="15">
        <f>IF(C339&lt;=0,0,MIN($B$12,C339+E339))</f>
        <v/>
      </c>
      <c r="E339" s="15">
        <f>ROUND(C339*M339/1200,0)</f>
        <v/>
      </c>
      <c r="F339" s="15">
        <f>D339-E339</f>
        <v/>
      </c>
      <c r="G339" s="15">
        <f>IF(C339&lt;=0,0,MIN($B$9,C339-F339))</f>
        <v/>
      </c>
      <c r="H339" s="16" t="n"/>
      <c r="I339" s="15">
        <f>MAX(0,C339-F339-G339-MIN(N(H339),MAX(0,C339-F339-G339)))</f>
        <v/>
      </c>
      <c r="J339" s="17">
        <f>L338</f>
        <v/>
      </c>
      <c r="K339" s="17">
        <f>ROUND(J339*M339/1200,0)</f>
        <v/>
      </c>
      <c r="L339" s="17">
        <f>MAX(0,J339-(MIN($B$12,J339+K339)-K339))</f>
        <v/>
      </c>
      <c r="M339" s="18">
        <f>M338</f>
        <v/>
      </c>
    </row>
    <row r="340">
      <c r="A340" t="n">
        <v>319</v>
      </c>
      <c r="B340" s="14">
        <f>EDATE($B$8,318)</f>
        <v/>
      </c>
      <c r="C340" s="15">
        <f>I339</f>
        <v/>
      </c>
      <c r="D340" s="15">
        <f>IF(C340&lt;=0,0,MIN($B$12,C340+E340))</f>
        <v/>
      </c>
      <c r="E340" s="15">
        <f>ROUND(C340*M340/1200,0)</f>
        <v/>
      </c>
      <c r="F340" s="15">
        <f>D340-E340</f>
        <v/>
      </c>
      <c r="G340" s="15">
        <f>IF(C340&lt;=0,0,MIN($B$9,C340-F340))</f>
        <v/>
      </c>
      <c r="H340" s="16" t="n"/>
      <c r="I340" s="15">
        <f>MAX(0,C340-F340-G340-MIN(N(H340),MAX(0,C340-F340-G340)))</f>
        <v/>
      </c>
      <c r="J340" s="17">
        <f>L339</f>
        <v/>
      </c>
      <c r="K340" s="17">
        <f>ROUND(J340*M340/1200,0)</f>
        <v/>
      </c>
      <c r="L340" s="17">
        <f>MAX(0,J340-(MIN($B$12,J340+K340)-K340))</f>
        <v/>
      </c>
      <c r="M340" s="18">
        <f>M339</f>
        <v/>
      </c>
    </row>
    <row r="341">
      <c r="A341" t="n">
        <v>320</v>
      </c>
      <c r="B341" s="14">
        <f>EDATE($B$8,319)</f>
        <v/>
      </c>
      <c r="C341" s="15">
        <f>I340</f>
        <v/>
      </c>
      <c r="D341" s="15">
        <f>IF(C341&lt;=0,0,MIN($B$12,C341+E341))</f>
        <v/>
      </c>
      <c r="E341" s="15">
        <f>ROUND(C341*M341/1200,0)</f>
        <v/>
      </c>
      <c r="F341" s="15">
        <f>D341-E341</f>
        <v/>
      </c>
      <c r="G341" s="15">
        <f>IF(C341&lt;=0,0,MIN($B$9,C341-F341))</f>
        <v/>
      </c>
      <c r="H341" s="16" t="n"/>
      <c r="I341" s="15">
        <f>MAX(0,C341-F341-G341-MIN(N(H341),MAX(0,C341-F341-G341)))</f>
        <v/>
      </c>
      <c r="J341" s="17">
        <f>L340</f>
        <v/>
      </c>
      <c r="K341" s="17">
        <f>ROUND(J341*M341/1200,0)</f>
        <v/>
      </c>
      <c r="L341" s="17">
        <f>MAX(0,J341-(MIN($B$12,J341+K341)-K341))</f>
        <v/>
      </c>
      <c r="M341" s="18">
        <f>M340</f>
        <v/>
      </c>
    </row>
    <row r="342">
      <c r="A342" t="n">
        <v>321</v>
      </c>
      <c r="B342" s="14">
        <f>EDATE($B$8,320)</f>
        <v/>
      </c>
      <c r="C342" s="15">
        <f>I341</f>
        <v/>
      </c>
      <c r="D342" s="15">
        <f>IF(C342&lt;=0,0,MIN($B$12,C342+E342))</f>
        <v/>
      </c>
      <c r="E342" s="15">
        <f>ROUND(C342*M342/1200,0)</f>
        <v/>
      </c>
      <c r="F342" s="15">
        <f>D342-E342</f>
        <v/>
      </c>
      <c r="G342" s="15">
        <f>IF(C342&lt;=0,0,MIN($B$9,C342-F342))</f>
        <v/>
      </c>
      <c r="H342" s="16" t="n"/>
      <c r="I342" s="15">
        <f>MAX(0,C342-F342-G342-MIN(N(H342),MAX(0,C342-F342-G342)))</f>
        <v/>
      </c>
      <c r="J342" s="17">
        <f>L341</f>
        <v/>
      </c>
      <c r="K342" s="17">
        <f>ROUND(J342*M342/1200,0)</f>
        <v/>
      </c>
      <c r="L342" s="17">
        <f>MAX(0,J342-(MIN($B$12,J342+K342)-K342))</f>
        <v/>
      </c>
      <c r="M342" s="18">
        <f>M341</f>
        <v/>
      </c>
    </row>
    <row r="343">
      <c r="A343" t="n">
        <v>322</v>
      </c>
      <c r="B343" s="14">
        <f>EDATE($B$8,321)</f>
        <v/>
      </c>
      <c r="C343" s="15">
        <f>I342</f>
        <v/>
      </c>
      <c r="D343" s="15">
        <f>IF(C343&lt;=0,0,MIN($B$12,C343+E343))</f>
        <v/>
      </c>
      <c r="E343" s="15">
        <f>ROUND(C343*M343/1200,0)</f>
        <v/>
      </c>
      <c r="F343" s="15">
        <f>D343-E343</f>
        <v/>
      </c>
      <c r="G343" s="15">
        <f>IF(C343&lt;=0,0,MIN($B$9,C343-F343))</f>
        <v/>
      </c>
      <c r="H343" s="16" t="n"/>
      <c r="I343" s="15">
        <f>MAX(0,C343-F343-G343-MIN(N(H343),MAX(0,C343-F343-G343)))</f>
        <v/>
      </c>
      <c r="J343" s="17">
        <f>L342</f>
        <v/>
      </c>
      <c r="K343" s="17">
        <f>ROUND(J343*M343/1200,0)</f>
        <v/>
      </c>
      <c r="L343" s="17">
        <f>MAX(0,J343-(MIN($B$12,J343+K343)-K343))</f>
        <v/>
      </c>
      <c r="M343" s="18">
        <f>M342</f>
        <v/>
      </c>
    </row>
    <row r="344">
      <c r="A344" t="n">
        <v>323</v>
      </c>
      <c r="B344" s="14">
        <f>EDATE($B$8,322)</f>
        <v/>
      </c>
      <c r="C344" s="15">
        <f>I343</f>
        <v/>
      </c>
      <c r="D344" s="15">
        <f>IF(C344&lt;=0,0,MIN($B$12,C344+E344))</f>
        <v/>
      </c>
      <c r="E344" s="15">
        <f>ROUND(C344*M344/1200,0)</f>
        <v/>
      </c>
      <c r="F344" s="15">
        <f>D344-E344</f>
        <v/>
      </c>
      <c r="G344" s="15">
        <f>IF(C344&lt;=0,0,MIN($B$9,C344-F344))</f>
        <v/>
      </c>
      <c r="H344" s="16" t="n"/>
      <c r="I344" s="15">
        <f>MAX(0,C344-F344-G344-MIN(N(H344),MAX(0,C344-F344-G344)))</f>
        <v/>
      </c>
      <c r="J344" s="17">
        <f>L343</f>
        <v/>
      </c>
      <c r="K344" s="17">
        <f>ROUND(J344*M344/1200,0)</f>
        <v/>
      </c>
      <c r="L344" s="17">
        <f>MAX(0,J344-(MIN($B$12,J344+K344)-K344))</f>
        <v/>
      </c>
      <c r="M344" s="18">
        <f>M343</f>
        <v/>
      </c>
    </row>
    <row r="345">
      <c r="A345" t="n">
        <v>324</v>
      </c>
      <c r="B345" s="14">
        <f>EDATE($B$8,323)</f>
        <v/>
      </c>
      <c r="C345" s="15">
        <f>I344</f>
        <v/>
      </c>
      <c r="D345" s="15">
        <f>IF(C345&lt;=0,0,MIN($B$12,C345+E345))</f>
        <v/>
      </c>
      <c r="E345" s="15">
        <f>ROUND(C345*M345/1200,0)</f>
        <v/>
      </c>
      <c r="F345" s="15">
        <f>D345-E345</f>
        <v/>
      </c>
      <c r="G345" s="15">
        <f>IF(C345&lt;=0,0,MIN($B$9,C345-F345))</f>
        <v/>
      </c>
      <c r="H345" s="16" t="n"/>
      <c r="I345" s="15">
        <f>MAX(0,C345-F345-G345-MIN(N(H345),MAX(0,C345-F345-G345)))</f>
        <v/>
      </c>
      <c r="J345" s="17">
        <f>L344</f>
        <v/>
      </c>
      <c r="K345" s="17">
        <f>ROUND(J345*M345/1200,0)</f>
        <v/>
      </c>
      <c r="L345" s="17">
        <f>MAX(0,J345-(MIN($B$12,J345+K345)-K345))</f>
        <v/>
      </c>
      <c r="M345" s="18">
        <f>M344</f>
        <v/>
      </c>
    </row>
    <row r="346">
      <c r="A346" t="n">
        <v>325</v>
      </c>
      <c r="B346" s="14">
        <f>EDATE($B$8,324)</f>
        <v/>
      </c>
      <c r="C346" s="15">
        <f>I345</f>
        <v/>
      </c>
      <c r="D346" s="15">
        <f>IF(C346&lt;=0,0,MIN($B$12,C346+E346))</f>
        <v/>
      </c>
      <c r="E346" s="15">
        <f>ROUND(C346*M346/1200,0)</f>
        <v/>
      </c>
      <c r="F346" s="15">
        <f>D346-E346</f>
        <v/>
      </c>
      <c r="G346" s="15">
        <f>IF(C346&lt;=0,0,MIN($B$9,C346-F346))</f>
        <v/>
      </c>
      <c r="H346" s="16" t="n"/>
      <c r="I346" s="15">
        <f>MAX(0,C346-F346-G346-MIN(N(H346),MAX(0,C346-F346-G346)))</f>
        <v/>
      </c>
      <c r="J346" s="17">
        <f>L345</f>
        <v/>
      </c>
      <c r="K346" s="17">
        <f>ROUND(J346*M346/1200,0)</f>
        <v/>
      </c>
      <c r="L346" s="17">
        <f>MAX(0,J346-(MIN($B$12,J346+K346)-K346))</f>
        <v/>
      </c>
      <c r="M346" s="18">
        <f>M345</f>
        <v/>
      </c>
    </row>
    <row r="347">
      <c r="A347" t="n">
        <v>326</v>
      </c>
      <c r="B347" s="14">
        <f>EDATE($B$8,325)</f>
        <v/>
      </c>
      <c r="C347" s="15">
        <f>I346</f>
        <v/>
      </c>
      <c r="D347" s="15">
        <f>IF(C347&lt;=0,0,MIN($B$12,C347+E347))</f>
        <v/>
      </c>
      <c r="E347" s="15">
        <f>ROUND(C347*M347/1200,0)</f>
        <v/>
      </c>
      <c r="F347" s="15">
        <f>D347-E347</f>
        <v/>
      </c>
      <c r="G347" s="15">
        <f>IF(C347&lt;=0,0,MIN($B$9,C347-F347))</f>
        <v/>
      </c>
      <c r="H347" s="16" t="n"/>
      <c r="I347" s="15">
        <f>MAX(0,C347-F347-G347-MIN(N(H347),MAX(0,C347-F347-G347)))</f>
        <v/>
      </c>
      <c r="J347" s="17">
        <f>L346</f>
        <v/>
      </c>
      <c r="K347" s="17">
        <f>ROUND(J347*M347/1200,0)</f>
        <v/>
      </c>
      <c r="L347" s="17">
        <f>MAX(0,J347-(MIN($B$12,J347+K347)-K347))</f>
        <v/>
      </c>
      <c r="M347" s="18">
        <f>M346</f>
        <v/>
      </c>
    </row>
    <row r="348">
      <c r="A348" t="n">
        <v>327</v>
      </c>
      <c r="B348" s="14">
        <f>EDATE($B$8,326)</f>
        <v/>
      </c>
      <c r="C348" s="15">
        <f>I347</f>
        <v/>
      </c>
      <c r="D348" s="15">
        <f>IF(C348&lt;=0,0,MIN($B$12,C348+E348))</f>
        <v/>
      </c>
      <c r="E348" s="15">
        <f>ROUND(C348*M348/1200,0)</f>
        <v/>
      </c>
      <c r="F348" s="15">
        <f>D348-E348</f>
        <v/>
      </c>
      <c r="G348" s="15">
        <f>IF(C348&lt;=0,0,MIN($B$9,C348-F348))</f>
        <v/>
      </c>
      <c r="H348" s="16" t="n"/>
      <c r="I348" s="15">
        <f>MAX(0,C348-F348-G348-MIN(N(H348),MAX(0,C348-F348-G348)))</f>
        <v/>
      </c>
      <c r="J348" s="17">
        <f>L347</f>
        <v/>
      </c>
      <c r="K348" s="17">
        <f>ROUND(J348*M348/1200,0)</f>
        <v/>
      </c>
      <c r="L348" s="17">
        <f>MAX(0,J348-(MIN($B$12,J348+K348)-K348))</f>
        <v/>
      </c>
      <c r="M348" s="18">
        <f>M347</f>
        <v/>
      </c>
    </row>
    <row r="349">
      <c r="A349" t="n">
        <v>328</v>
      </c>
      <c r="B349" s="14">
        <f>EDATE($B$8,327)</f>
        <v/>
      </c>
      <c r="C349" s="15">
        <f>I348</f>
        <v/>
      </c>
      <c r="D349" s="15">
        <f>IF(C349&lt;=0,0,MIN($B$12,C349+E349))</f>
        <v/>
      </c>
      <c r="E349" s="15">
        <f>ROUND(C349*M349/1200,0)</f>
        <v/>
      </c>
      <c r="F349" s="15">
        <f>D349-E349</f>
        <v/>
      </c>
      <c r="G349" s="15">
        <f>IF(C349&lt;=0,0,MIN($B$9,C349-F349))</f>
        <v/>
      </c>
      <c r="H349" s="16" t="n"/>
      <c r="I349" s="15">
        <f>MAX(0,C349-F349-G349-MIN(N(H349),MAX(0,C349-F349-G349)))</f>
        <v/>
      </c>
      <c r="J349" s="17">
        <f>L348</f>
        <v/>
      </c>
      <c r="K349" s="17">
        <f>ROUND(J349*M349/1200,0)</f>
        <v/>
      </c>
      <c r="L349" s="17">
        <f>MAX(0,J349-(MIN($B$12,J349+K349)-K349))</f>
        <v/>
      </c>
      <c r="M349" s="18">
        <f>M348</f>
        <v/>
      </c>
    </row>
    <row r="350">
      <c r="A350" t="n">
        <v>329</v>
      </c>
      <c r="B350" s="14">
        <f>EDATE($B$8,328)</f>
        <v/>
      </c>
      <c r="C350" s="15">
        <f>I349</f>
        <v/>
      </c>
      <c r="D350" s="15">
        <f>IF(C350&lt;=0,0,MIN($B$12,C350+E350))</f>
        <v/>
      </c>
      <c r="E350" s="15">
        <f>ROUND(C350*M350/1200,0)</f>
        <v/>
      </c>
      <c r="F350" s="15">
        <f>D350-E350</f>
        <v/>
      </c>
      <c r="G350" s="15">
        <f>IF(C350&lt;=0,0,MIN($B$9,C350-F350))</f>
        <v/>
      </c>
      <c r="H350" s="16" t="n"/>
      <c r="I350" s="15">
        <f>MAX(0,C350-F350-G350-MIN(N(H350),MAX(0,C350-F350-G350)))</f>
        <v/>
      </c>
      <c r="J350" s="17">
        <f>L349</f>
        <v/>
      </c>
      <c r="K350" s="17">
        <f>ROUND(J350*M350/1200,0)</f>
        <v/>
      </c>
      <c r="L350" s="17">
        <f>MAX(0,J350-(MIN($B$12,J350+K350)-K350))</f>
        <v/>
      </c>
      <c r="M350" s="18">
        <f>M349</f>
        <v/>
      </c>
    </row>
    <row r="351">
      <c r="A351" t="n">
        <v>330</v>
      </c>
      <c r="B351" s="14">
        <f>EDATE($B$8,329)</f>
        <v/>
      </c>
      <c r="C351" s="15">
        <f>I350</f>
        <v/>
      </c>
      <c r="D351" s="15">
        <f>IF(C351&lt;=0,0,MIN($B$12,C351+E351))</f>
        <v/>
      </c>
      <c r="E351" s="15">
        <f>ROUND(C351*M351/1200,0)</f>
        <v/>
      </c>
      <c r="F351" s="15">
        <f>D351-E351</f>
        <v/>
      </c>
      <c r="G351" s="15">
        <f>IF(C351&lt;=0,0,MIN($B$9,C351-F351))</f>
        <v/>
      </c>
      <c r="H351" s="16" t="n"/>
      <c r="I351" s="15">
        <f>MAX(0,C351-F351-G351-MIN(N(H351),MAX(0,C351-F351-G351)))</f>
        <v/>
      </c>
      <c r="J351" s="17">
        <f>L350</f>
        <v/>
      </c>
      <c r="K351" s="17">
        <f>ROUND(J351*M351/1200,0)</f>
        <v/>
      </c>
      <c r="L351" s="17">
        <f>MAX(0,J351-(MIN($B$12,J351+K351)-K351))</f>
        <v/>
      </c>
      <c r="M351" s="18">
        <f>M350</f>
        <v/>
      </c>
    </row>
    <row r="352">
      <c r="A352" t="n">
        <v>331</v>
      </c>
      <c r="B352" s="14">
        <f>EDATE($B$8,330)</f>
        <v/>
      </c>
      <c r="C352" s="15">
        <f>I351</f>
        <v/>
      </c>
      <c r="D352" s="15">
        <f>IF(C352&lt;=0,0,MIN($B$12,C352+E352))</f>
        <v/>
      </c>
      <c r="E352" s="15">
        <f>ROUND(C352*M352/1200,0)</f>
        <v/>
      </c>
      <c r="F352" s="15">
        <f>D352-E352</f>
        <v/>
      </c>
      <c r="G352" s="15">
        <f>IF(C352&lt;=0,0,MIN($B$9,C352-F352))</f>
        <v/>
      </c>
      <c r="H352" s="16" t="n"/>
      <c r="I352" s="15">
        <f>MAX(0,C352-F352-G352-MIN(N(H352),MAX(0,C352-F352-G352)))</f>
        <v/>
      </c>
      <c r="J352" s="17">
        <f>L351</f>
        <v/>
      </c>
      <c r="K352" s="17">
        <f>ROUND(J352*M352/1200,0)</f>
        <v/>
      </c>
      <c r="L352" s="17">
        <f>MAX(0,J352-(MIN($B$12,J352+K352)-K352))</f>
        <v/>
      </c>
      <c r="M352" s="18">
        <f>M351</f>
        <v/>
      </c>
    </row>
    <row r="353">
      <c r="A353" t="n">
        <v>332</v>
      </c>
      <c r="B353" s="14">
        <f>EDATE($B$8,331)</f>
        <v/>
      </c>
      <c r="C353" s="15">
        <f>I352</f>
        <v/>
      </c>
      <c r="D353" s="15">
        <f>IF(C353&lt;=0,0,MIN($B$12,C353+E353))</f>
        <v/>
      </c>
      <c r="E353" s="15">
        <f>ROUND(C353*M353/1200,0)</f>
        <v/>
      </c>
      <c r="F353" s="15">
        <f>D353-E353</f>
        <v/>
      </c>
      <c r="G353" s="15">
        <f>IF(C353&lt;=0,0,MIN($B$9,C353-F353))</f>
        <v/>
      </c>
      <c r="H353" s="16" t="n"/>
      <c r="I353" s="15">
        <f>MAX(0,C353-F353-G353-MIN(N(H353),MAX(0,C353-F353-G353)))</f>
        <v/>
      </c>
      <c r="J353" s="17">
        <f>L352</f>
        <v/>
      </c>
      <c r="K353" s="17">
        <f>ROUND(J353*M353/1200,0)</f>
        <v/>
      </c>
      <c r="L353" s="17">
        <f>MAX(0,J353-(MIN($B$12,J353+K353)-K353))</f>
        <v/>
      </c>
      <c r="M353" s="18">
        <f>M352</f>
        <v/>
      </c>
    </row>
    <row r="354">
      <c r="A354" t="n">
        <v>333</v>
      </c>
      <c r="B354" s="14">
        <f>EDATE($B$8,332)</f>
        <v/>
      </c>
      <c r="C354" s="15">
        <f>I353</f>
        <v/>
      </c>
      <c r="D354" s="15">
        <f>IF(C354&lt;=0,0,MIN($B$12,C354+E354))</f>
        <v/>
      </c>
      <c r="E354" s="15">
        <f>ROUND(C354*M354/1200,0)</f>
        <v/>
      </c>
      <c r="F354" s="15">
        <f>D354-E354</f>
        <v/>
      </c>
      <c r="G354" s="15">
        <f>IF(C354&lt;=0,0,MIN($B$9,C354-F354))</f>
        <v/>
      </c>
      <c r="H354" s="16" t="n"/>
      <c r="I354" s="15">
        <f>MAX(0,C354-F354-G354-MIN(N(H354),MAX(0,C354-F354-G354)))</f>
        <v/>
      </c>
      <c r="J354" s="17">
        <f>L353</f>
        <v/>
      </c>
      <c r="K354" s="17">
        <f>ROUND(J354*M354/1200,0)</f>
        <v/>
      </c>
      <c r="L354" s="17">
        <f>MAX(0,J354-(MIN($B$12,J354+K354)-K354))</f>
        <v/>
      </c>
      <c r="M354" s="18">
        <f>M353</f>
        <v/>
      </c>
    </row>
    <row r="355">
      <c r="A355" t="n">
        <v>334</v>
      </c>
      <c r="B355" s="14">
        <f>EDATE($B$8,333)</f>
        <v/>
      </c>
      <c r="C355" s="15">
        <f>I354</f>
        <v/>
      </c>
      <c r="D355" s="15">
        <f>IF(C355&lt;=0,0,MIN($B$12,C355+E355))</f>
        <v/>
      </c>
      <c r="E355" s="15">
        <f>ROUND(C355*M355/1200,0)</f>
        <v/>
      </c>
      <c r="F355" s="15">
        <f>D355-E355</f>
        <v/>
      </c>
      <c r="G355" s="15">
        <f>IF(C355&lt;=0,0,MIN($B$9,C355-F355))</f>
        <v/>
      </c>
      <c r="H355" s="16" t="n"/>
      <c r="I355" s="15">
        <f>MAX(0,C355-F355-G355-MIN(N(H355),MAX(0,C355-F355-G355)))</f>
        <v/>
      </c>
      <c r="J355" s="17">
        <f>L354</f>
        <v/>
      </c>
      <c r="K355" s="17">
        <f>ROUND(J355*M355/1200,0)</f>
        <v/>
      </c>
      <c r="L355" s="17">
        <f>MAX(0,J355-(MIN($B$12,J355+K355)-K355))</f>
        <v/>
      </c>
      <c r="M355" s="18">
        <f>M354</f>
        <v/>
      </c>
    </row>
    <row r="356">
      <c r="A356" t="n">
        <v>335</v>
      </c>
      <c r="B356" s="14">
        <f>EDATE($B$8,334)</f>
        <v/>
      </c>
      <c r="C356" s="15">
        <f>I355</f>
        <v/>
      </c>
      <c r="D356" s="15">
        <f>IF(C356&lt;=0,0,MIN($B$12,C356+E356))</f>
        <v/>
      </c>
      <c r="E356" s="15">
        <f>ROUND(C356*M356/1200,0)</f>
        <v/>
      </c>
      <c r="F356" s="15">
        <f>D356-E356</f>
        <v/>
      </c>
      <c r="G356" s="15">
        <f>IF(C356&lt;=0,0,MIN($B$9,C356-F356))</f>
        <v/>
      </c>
      <c r="H356" s="16" t="n"/>
      <c r="I356" s="15">
        <f>MAX(0,C356-F356-G356-MIN(N(H356),MAX(0,C356-F356-G356)))</f>
        <v/>
      </c>
      <c r="J356" s="17">
        <f>L355</f>
        <v/>
      </c>
      <c r="K356" s="17">
        <f>ROUND(J356*M356/1200,0)</f>
        <v/>
      </c>
      <c r="L356" s="17">
        <f>MAX(0,J356-(MIN($B$12,J356+K356)-K356))</f>
        <v/>
      </c>
      <c r="M356" s="18">
        <f>M355</f>
        <v/>
      </c>
    </row>
    <row r="357">
      <c r="A357" t="n">
        <v>336</v>
      </c>
      <c r="B357" s="14">
        <f>EDATE($B$8,335)</f>
        <v/>
      </c>
      <c r="C357" s="15">
        <f>I356</f>
        <v/>
      </c>
      <c r="D357" s="15">
        <f>IF(C357&lt;=0,0,MIN($B$12,C357+E357))</f>
        <v/>
      </c>
      <c r="E357" s="15">
        <f>ROUND(C357*M357/1200,0)</f>
        <v/>
      </c>
      <c r="F357" s="15">
        <f>D357-E357</f>
        <v/>
      </c>
      <c r="G357" s="15">
        <f>IF(C357&lt;=0,0,MIN($B$9,C357-F357))</f>
        <v/>
      </c>
      <c r="H357" s="16" t="n"/>
      <c r="I357" s="15">
        <f>MAX(0,C357-F357-G357-MIN(N(H357),MAX(0,C357-F357-G357)))</f>
        <v/>
      </c>
      <c r="J357" s="17">
        <f>L356</f>
        <v/>
      </c>
      <c r="K357" s="17">
        <f>ROUND(J357*M357/1200,0)</f>
        <v/>
      </c>
      <c r="L357" s="17">
        <f>MAX(0,J357-(MIN($B$12,J357+K357)-K357))</f>
        <v/>
      </c>
      <c r="M357" s="18">
        <f>M356</f>
        <v/>
      </c>
    </row>
    <row r="358">
      <c r="A358" t="n">
        <v>337</v>
      </c>
      <c r="B358" s="14">
        <f>EDATE($B$8,336)</f>
        <v/>
      </c>
      <c r="C358" s="15">
        <f>I357</f>
        <v/>
      </c>
      <c r="D358" s="15">
        <f>IF(C358&lt;=0,0,MIN($B$12,C358+E358))</f>
        <v/>
      </c>
      <c r="E358" s="15">
        <f>ROUND(C358*M358/1200,0)</f>
        <v/>
      </c>
      <c r="F358" s="15">
        <f>D358-E358</f>
        <v/>
      </c>
      <c r="G358" s="15">
        <f>IF(C358&lt;=0,0,MIN($B$9,C358-F358))</f>
        <v/>
      </c>
      <c r="H358" s="16" t="n"/>
      <c r="I358" s="15">
        <f>MAX(0,C358-F358-G358-MIN(N(H358),MAX(0,C358-F358-G358)))</f>
        <v/>
      </c>
      <c r="J358" s="17">
        <f>L357</f>
        <v/>
      </c>
      <c r="K358" s="17">
        <f>ROUND(J358*M358/1200,0)</f>
        <v/>
      </c>
      <c r="L358" s="17">
        <f>MAX(0,J358-(MIN($B$12,J358+K358)-K358))</f>
        <v/>
      </c>
      <c r="M358" s="18">
        <f>M357</f>
        <v/>
      </c>
    </row>
    <row r="359">
      <c r="A359" t="n">
        <v>338</v>
      </c>
      <c r="B359" s="14">
        <f>EDATE($B$8,337)</f>
        <v/>
      </c>
      <c r="C359" s="15">
        <f>I358</f>
        <v/>
      </c>
      <c r="D359" s="15">
        <f>IF(C359&lt;=0,0,MIN($B$12,C359+E359))</f>
        <v/>
      </c>
      <c r="E359" s="15">
        <f>ROUND(C359*M359/1200,0)</f>
        <v/>
      </c>
      <c r="F359" s="15">
        <f>D359-E359</f>
        <v/>
      </c>
      <c r="G359" s="15">
        <f>IF(C359&lt;=0,0,MIN($B$9,C359-F359))</f>
        <v/>
      </c>
      <c r="H359" s="16" t="n"/>
      <c r="I359" s="15">
        <f>MAX(0,C359-F359-G359-MIN(N(H359),MAX(0,C359-F359-G359)))</f>
        <v/>
      </c>
      <c r="J359" s="17">
        <f>L358</f>
        <v/>
      </c>
      <c r="K359" s="17">
        <f>ROUND(J359*M359/1200,0)</f>
        <v/>
      </c>
      <c r="L359" s="17">
        <f>MAX(0,J359-(MIN($B$12,J359+K359)-K359))</f>
        <v/>
      </c>
      <c r="M359" s="18">
        <f>M358</f>
        <v/>
      </c>
    </row>
    <row r="360">
      <c r="A360" t="n">
        <v>339</v>
      </c>
      <c r="B360" s="14">
        <f>EDATE($B$8,338)</f>
        <v/>
      </c>
      <c r="C360" s="15">
        <f>I359</f>
        <v/>
      </c>
      <c r="D360" s="15">
        <f>IF(C360&lt;=0,0,MIN($B$12,C360+E360))</f>
        <v/>
      </c>
      <c r="E360" s="15">
        <f>ROUND(C360*M360/1200,0)</f>
        <v/>
      </c>
      <c r="F360" s="15">
        <f>D360-E360</f>
        <v/>
      </c>
      <c r="G360" s="15">
        <f>IF(C360&lt;=0,0,MIN($B$9,C360-F360))</f>
        <v/>
      </c>
      <c r="H360" s="16" t="n"/>
      <c r="I360" s="15">
        <f>MAX(0,C360-F360-G360-MIN(N(H360),MAX(0,C360-F360-G360)))</f>
        <v/>
      </c>
      <c r="J360" s="17">
        <f>L359</f>
        <v/>
      </c>
      <c r="K360" s="17">
        <f>ROUND(J360*M360/1200,0)</f>
        <v/>
      </c>
      <c r="L360" s="17">
        <f>MAX(0,J360-(MIN($B$12,J360+K360)-K360))</f>
        <v/>
      </c>
      <c r="M360" s="18">
        <f>M359</f>
        <v/>
      </c>
    </row>
    <row r="361">
      <c r="A361" t="n">
        <v>340</v>
      </c>
      <c r="B361" s="14">
        <f>EDATE($B$8,339)</f>
        <v/>
      </c>
      <c r="C361" s="15">
        <f>I360</f>
        <v/>
      </c>
      <c r="D361" s="15">
        <f>IF(C361&lt;=0,0,MIN($B$12,C361+E361))</f>
        <v/>
      </c>
      <c r="E361" s="15">
        <f>ROUND(C361*M361/1200,0)</f>
        <v/>
      </c>
      <c r="F361" s="15">
        <f>D361-E361</f>
        <v/>
      </c>
      <c r="G361" s="15">
        <f>IF(C361&lt;=0,0,MIN($B$9,C361-F361))</f>
        <v/>
      </c>
      <c r="H361" s="16" t="n"/>
      <c r="I361" s="15">
        <f>MAX(0,C361-F361-G361-MIN(N(H361),MAX(0,C361-F361-G361)))</f>
        <v/>
      </c>
      <c r="J361" s="17">
        <f>L360</f>
        <v/>
      </c>
      <c r="K361" s="17">
        <f>ROUND(J361*M361/1200,0)</f>
        <v/>
      </c>
      <c r="L361" s="17">
        <f>MAX(0,J361-(MIN($B$12,J361+K361)-K361))</f>
        <v/>
      </c>
      <c r="M361" s="18">
        <f>M360</f>
        <v/>
      </c>
    </row>
    <row r="362">
      <c r="A362" t="n">
        <v>341</v>
      </c>
      <c r="B362" s="14">
        <f>EDATE($B$8,340)</f>
        <v/>
      </c>
      <c r="C362" s="15">
        <f>I361</f>
        <v/>
      </c>
      <c r="D362" s="15">
        <f>IF(C362&lt;=0,0,MIN($B$12,C362+E362))</f>
        <v/>
      </c>
      <c r="E362" s="15">
        <f>ROUND(C362*M362/1200,0)</f>
        <v/>
      </c>
      <c r="F362" s="15">
        <f>D362-E362</f>
        <v/>
      </c>
      <c r="G362" s="15">
        <f>IF(C362&lt;=0,0,MIN($B$9,C362-F362))</f>
        <v/>
      </c>
      <c r="H362" s="16" t="n"/>
      <c r="I362" s="15">
        <f>MAX(0,C362-F362-G362-MIN(N(H362),MAX(0,C362-F362-G362)))</f>
        <v/>
      </c>
      <c r="J362" s="17">
        <f>L361</f>
        <v/>
      </c>
      <c r="K362" s="17">
        <f>ROUND(J362*M362/1200,0)</f>
        <v/>
      </c>
      <c r="L362" s="17">
        <f>MAX(0,J362-(MIN($B$12,J362+K362)-K362))</f>
        <v/>
      </c>
      <c r="M362" s="18">
        <f>M361</f>
        <v/>
      </c>
    </row>
    <row r="363">
      <c r="A363" t="n">
        <v>342</v>
      </c>
      <c r="B363" s="14">
        <f>EDATE($B$8,341)</f>
        <v/>
      </c>
      <c r="C363" s="15">
        <f>I362</f>
        <v/>
      </c>
      <c r="D363" s="15">
        <f>IF(C363&lt;=0,0,MIN($B$12,C363+E363))</f>
        <v/>
      </c>
      <c r="E363" s="15">
        <f>ROUND(C363*M363/1200,0)</f>
        <v/>
      </c>
      <c r="F363" s="15">
        <f>D363-E363</f>
        <v/>
      </c>
      <c r="G363" s="15">
        <f>IF(C363&lt;=0,0,MIN($B$9,C363-F363))</f>
        <v/>
      </c>
      <c r="H363" s="16" t="n"/>
      <c r="I363" s="15">
        <f>MAX(0,C363-F363-G363-MIN(N(H363),MAX(0,C363-F363-G363)))</f>
        <v/>
      </c>
      <c r="J363" s="17">
        <f>L362</f>
        <v/>
      </c>
      <c r="K363" s="17">
        <f>ROUND(J363*M363/1200,0)</f>
        <v/>
      </c>
      <c r="L363" s="17">
        <f>MAX(0,J363-(MIN($B$12,J363+K363)-K363))</f>
        <v/>
      </c>
      <c r="M363" s="18">
        <f>M362</f>
        <v/>
      </c>
    </row>
    <row r="364">
      <c r="A364" t="n">
        <v>343</v>
      </c>
      <c r="B364" s="14">
        <f>EDATE($B$8,342)</f>
        <v/>
      </c>
      <c r="C364" s="15">
        <f>I363</f>
        <v/>
      </c>
      <c r="D364" s="15">
        <f>IF(C364&lt;=0,0,MIN($B$12,C364+E364))</f>
        <v/>
      </c>
      <c r="E364" s="15">
        <f>ROUND(C364*M364/1200,0)</f>
        <v/>
      </c>
      <c r="F364" s="15">
        <f>D364-E364</f>
        <v/>
      </c>
      <c r="G364" s="15">
        <f>IF(C364&lt;=0,0,MIN($B$9,C364-F364))</f>
        <v/>
      </c>
      <c r="H364" s="16" t="n"/>
      <c r="I364" s="15">
        <f>MAX(0,C364-F364-G364-MIN(N(H364),MAX(0,C364-F364-G364)))</f>
        <v/>
      </c>
      <c r="J364" s="17">
        <f>L363</f>
        <v/>
      </c>
      <c r="K364" s="17">
        <f>ROUND(J364*M364/1200,0)</f>
        <v/>
      </c>
      <c r="L364" s="17">
        <f>MAX(0,J364-(MIN($B$12,J364+K364)-K364))</f>
        <v/>
      </c>
      <c r="M364" s="18">
        <f>M363</f>
        <v/>
      </c>
    </row>
    <row r="365">
      <c r="A365" t="n">
        <v>344</v>
      </c>
      <c r="B365" s="14">
        <f>EDATE($B$8,343)</f>
        <v/>
      </c>
      <c r="C365" s="15">
        <f>I364</f>
        <v/>
      </c>
      <c r="D365" s="15">
        <f>IF(C365&lt;=0,0,MIN($B$12,C365+E365))</f>
        <v/>
      </c>
      <c r="E365" s="15">
        <f>ROUND(C365*M365/1200,0)</f>
        <v/>
      </c>
      <c r="F365" s="15">
        <f>D365-E365</f>
        <v/>
      </c>
      <c r="G365" s="15">
        <f>IF(C365&lt;=0,0,MIN($B$9,C365-F365))</f>
        <v/>
      </c>
      <c r="H365" s="16" t="n"/>
      <c r="I365" s="15">
        <f>MAX(0,C365-F365-G365-MIN(N(H365),MAX(0,C365-F365-G365)))</f>
        <v/>
      </c>
      <c r="J365" s="17">
        <f>L364</f>
        <v/>
      </c>
      <c r="K365" s="17">
        <f>ROUND(J365*M365/1200,0)</f>
        <v/>
      </c>
      <c r="L365" s="17">
        <f>MAX(0,J365-(MIN($B$12,J365+K365)-K365))</f>
        <v/>
      </c>
      <c r="M365" s="18">
        <f>M364</f>
        <v/>
      </c>
    </row>
    <row r="366">
      <c r="A366" t="n">
        <v>345</v>
      </c>
      <c r="B366" s="14">
        <f>EDATE($B$8,344)</f>
        <v/>
      </c>
      <c r="C366" s="15">
        <f>I365</f>
        <v/>
      </c>
      <c r="D366" s="15">
        <f>IF(C366&lt;=0,0,MIN($B$12,C366+E366))</f>
        <v/>
      </c>
      <c r="E366" s="15">
        <f>ROUND(C366*M366/1200,0)</f>
        <v/>
      </c>
      <c r="F366" s="15">
        <f>D366-E366</f>
        <v/>
      </c>
      <c r="G366" s="15">
        <f>IF(C366&lt;=0,0,MIN($B$9,C366-F366))</f>
        <v/>
      </c>
      <c r="H366" s="16" t="n"/>
      <c r="I366" s="15">
        <f>MAX(0,C366-F366-G366-MIN(N(H366),MAX(0,C366-F366-G366)))</f>
        <v/>
      </c>
      <c r="J366" s="17">
        <f>L365</f>
        <v/>
      </c>
      <c r="K366" s="17">
        <f>ROUND(J366*M366/1200,0)</f>
        <v/>
      </c>
      <c r="L366" s="17">
        <f>MAX(0,J366-(MIN($B$12,J366+K366)-K366))</f>
        <v/>
      </c>
      <c r="M366" s="18">
        <f>M365</f>
        <v/>
      </c>
    </row>
    <row r="367">
      <c r="A367" t="n">
        <v>346</v>
      </c>
      <c r="B367" s="14">
        <f>EDATE($B$8,345)</f>
        <v/>
      </c>
      <c r="C367" s="15">
        <f>I366</f>
        <v/>
      </c>
      <c r="D367" s="15">
        <f>IF(C367&lt;=0,0,MIN($B$12,C367+E367))</f>
        <v/>
      </c>
      <c r="E367" s="15">
        <f>ROUND(C367*M367/1200,0)</f>
        <v/>
      </c>
      <c r="F367" s="15">
        <f>D367-E367</f>
        <v/>
      </c>
      <c r="G367" s="15">
        <f>IF(C367&lt;=0,0,MIN($B$9,C367-F367))</f>
        <v/>
      </c>
      <c r="H367" s="16" t="n"/>
      <c r="I367" s="15">
        <f>MAX(0,C367-F367-G367-MIN(N(H367),MAX(0,C367-F367-G367)))</f>
        <v/>
      </c>
      <c r="J367" s="17">
        <f>L366</f>
        <v/>
      </c>
      <c r="K367" s="17">
        <f>ROUND(J367*M367/1200,0)</f>
        <v/>
      </c>
      <c r="L367" s="17">
        <f>MAX(0,J367-(MIN($B$12,J367+K367)-K367))</f>
        <v/>
      </c>
      <c r="M367" s="18">
        <f>M366</f>
        <v/>
      </c>
    </row>
    <row r="368">
      <c r="A368" t="n">
        <v>347</v>
      </c>
      <c r="B368" s="14">
        <f>EDATE($B$8,346)</f>
        <v/>
      </c>
      <c r="C368" s="15">
        <f>I367</f>
        <v/>
      </c>
      <c r="D368" s="15">
        <f>IF(C368&lt;=0,0,MIN($B$12,C368+E368))</f>
        <v/>
      </c>
      <c r="E368" s="15">
        <f>ROUND(C368*M368/1200,0)</f>
        <v/>
      </c>
      <c r="F368" s="15">
        <f>D368-E368</f>
        <v/>
      </c>
      <c r="G368" s="15">
        <f>IF(C368&lt;=0,0,MIN($B$9,C368-F368))</f>
        <v/>
      </c>
      <c r="H368" s="16" t="n"/>
      <c r="I368" s="15">
        <f>MAX(0,C368-F368-G368-MIN(N(H368),MAX(0,C368-F368-G368)))</f>
        <v/>
      </c>
      <c r="J368" s="17">
        <f>L367</f>
        <v/>
      </c>
      <c r="K368" s="17">
        <f>ROUND(J368*M368/1200,0)</f>
        <v/>
      </c>
      <c r="L368" s="17">
        <f>MAX(0,J368-(MIN($B$12,J368+K368)-K368))</f>
        <v/>
      </c>
      <c r="M368" s="18">
        <f>M367</f>
        <v/>
      </c>
    </row>
    <row r="369">
      <c r="A369" t="n">
        <v>348</v>
      </c>
      <c r="B369" s="14">
        <f>EDATE($B$8,347)</f>
        <v/>
      </c>
      <c r="C369" s="15">
        <f>I368</f>
        <v/>
      </c>
      <c r="D369" s="15">
        <f>IF(C369&lt;=0,0,MIN($B$12,C369+E369))</f>
        <v/>
      </c>
      <c r="E369" s="15">
        <f>ROUND(C369*M369/1200,0)</f>
        <v/>
      </c>
      <c r="F369" s="15">
        <f>D369-E369</f>
        <v/>
      </c>
      <c r="G369" s="15">
        <f>IF(C369&lt;=0,0,MIN($B$9,C369-F369))</f>
        <v/>
      </c>
      <c r="H369" s="16" t="n"/>
      <c r="I369" s="15">
        <f>MAX(0,C369-F369-G369-MIN(N(H369),MAX(0,C369-F369-G369)))</f>
        <v/>
      </c>
      <c r="J369" s="17">
        <f>L368</f>
        <v/>
      </c>
      <c r="K369" s="17">
        <f>ROUND(J369*M369/1200,0)</f>
        <v/>
      </c>
      <c r="L369" s="17">
        <f>MAX(0,J369-(MIN($B$12,J369+K369)-K369))</f>
        <v/>
      </c>
      <c r="M369" s="18">
        <f>M368</f>
        <v/>
      </c>
    </row>
    <row r="370">
      <c r="A370" t="n">
        <v>349</v>
      </c>
      <c r="B370" s="14">
        <f>EDATE($B$8,348)</f>
        <v/>
      </c>
      <c r="C370" s="15">
        <f>I369</f>
        <v/>
      </c>
      <c r="D370" s="15">
        <f>IF(C370&lt;=0,0,MIN($B$12,C370+E370))</f>
        <v/>
      </c>
      <c r="E370" s="15">
        <f>ROUND(C370*M370/1200,0)</f>
        <v/>
      </c>
      <c r="F370" s="15">
        <f>D370-E370</f>
        <v/>
      </c>
      <c r="G370" s="15">
        <f>IF(C370&lt;=0,0,MIN($B$9,C370-F370))</f>
        <v/>
      </c>
      <c r="H370" s="16" t="n"/>
      <c r="I370" s="15">
        <f>MAX(0,C370-F370-G370-MIN(N(H370),MAX(0,C370-F370-G370)))</f>
        <v/>
      </c>
      <c r="J370" s="17">
        <f>L369</f>
        <v/>
      </c>
      <c r="K370" s="17">
        <f>ROUND(J370*M370/1200,0)</f>
        <v/>
      </c>
      <c r="L370" s="17">
        <f>MAX(0,J370-(MIN($B$12,J370+K370)-K370))</f>
        <v/>
      </c>
      <c r="M370" s="18">
        <f>M369</f>
        <v/>
      </c>
    </row>
    <row r="371">
      <c r="A371" t="n">
        <v>350</v>
      </c>
      <c r="B371" s="14">
        <f>EDATE($B$8,349)</f>
        <v/>
      </c>
      <c r="C371" s="15">
        <f>I370</f>
        <v/>
      </c>
      <c r="D371" s="15">
        <f>IF(C371&lt;=0,0,MIN($B$12,C371+E371))</f>
        <v/>
      </c>
      <c r="E371" s="15">
        <f>ROUND(C371*M371/1200,0)</f>
        <v/>
      </c>
      <c r="F371" s="15">
        <f>D371-E371</f>
        <v/>
      </c>
      <c r="G371" s="15">
        <f>IF(C371&lt;=0,0,MIN($B$9,C371-F371))</f>
        <v/>
      </c>
      <c r="H371" s="16" t="n"/>
      <c r="I371" s="15">
        <f>MAX(0,C371-F371-G371-MIN(N(H371),MAX(0,C371-F371-G371)))</f>
        <v/>
      </c>
      <c r="J371" s="17">
        <f>L370</f>
        <v/>
      </c>
      <c r="K371" s="17">
        <f>ROUND(J371*M371/1200,0)</f>
        <v/>
      </c>
      <c r="L371" s="17">
        <f>MAX(0,J371-(MIN($B$12,J371+K371)-K371))</f>
        <v/>
      </c>
      <c r="M371" s="18">
        <f>M370</f>
        <v/>
      </c>
    </row>
    <row r="372">
      <c r="A372" t="n">
        <v>351</v>
      </c>
      <c r="B372" s="14">
        <f>EDATE($B$8,350)</f>
        <v/>
      </c>
      <c r="C372" s="15">
        <f>I371</f>
        <v/>
      </c>
      <c r="D372" s="15">
        <f>IF(C372&lt;=0,0,MIN($B$12,C372+E372))</f>
        <v/>
      </c>
      <c r="E372" s="15">
        <f>ROUND(C372*M372/1200,0)</f>
        <v/>
      </c>
      <c r="F372" s="15">
        <f>D372-E372</f>
        <v/>
      </c>
      <c r="G372" s="15">
        <f>IF(C372&lt;=0,0,MIN($B$9,C372-F372))</f>
        <v/>
      </c>
      <c r="H372" s="16" t="n"/>
      <c r="I372" s="15">
        <f>MAX(0,C372-F372-G372-MIN(N(H372),MAX(0,C372-F372-G372)))</f>
        <v/>
      </c>
      <c r="J372" s="17">
        <f>L371</f>
        <v/>
      </c>
      <c r="K372" s="17">
        <f>ROUND(J372*M372/1200,0)</f>
        <v/>
      </c>
      <c r="L372" s="17">
        <f>MAX(0,J372-(MIN($B$12,J372+K372)-K372))</f>
        <v/>
      </c>
      <c r="M372" s="18">
        <f>M371</f>
        <v/>
      </c>
    </row>
    <row r="373">
      <c r="A373" t="n">
        <v>352</v>
      </c>
      <c r="B373" s="14">
        <f>EDATE($B$8,351)</f>
        <v/>
      </c>
      <c r="C373" s="15">
        <f>I372</f>
        <v/>
      </c>
      <c r="D373" s="15">
        <f>IF(C373&lt;=0,0,MIN($B$12,C373+E373))</f>
        <v/>
      </c>
      <c r="E373" s="15">
        <f>ROUND(C373*M373/1200,0)</f>
        <v/>
      </c>
      <c r="F373" s="15">
        <f>D373-E373</f>
        <v/>
      </c>
      <c r="G373" s="15">
        <f>IF(C373&lt;=0,0,MIN($B$9,C373-F373))</f>
        <v/>
      </c>
      <c r="H373" s="16" t="n"/>
      <c r="I373" s="15">
        <f>MAX(0,C373-F373-G373-MIN(N(H373),MAX(0,C373-F373-G373)))</f>
        <v/>
      </c>
      <c r="J373" s="17">
        <f>L372</f>
        <v/>
      </c>
      <c r="K373" s="17">
        <f>ROUND(J373*M373/1200,0)</f>
        <v/>
      </c>
      <c r="L373" s="17">
        <f>MAX(0,J373-(MIN($B$12,J373+K373)-K373))</f>
        <v/>
      </c>
      <c r="M373" s="18">
        <f>M372</f>
        <v/>
      </c>
    </row>
    <row r="374">
      <c r="A374" t="n">
        <v>353</v>
      </c>
      <c r="B374" s="14">
        <f>EDATE($B$8,352)</f>
        <v/>
      </c>
      <c r="C374" s="15">
        <f>I373</f>
        <v/>
      </c>
      <c r="D374" s="15">
        <f>IF(C374&lt;=0,0,MIN($B$12,C374+E374))</f>
        <v/>
      </c>
      <c r="E374" s="15">
        <f>ROUND(C374*M374/1200,0)</f>
        <v/>
      </c>
      <c r="F374" s="15">
        <f>D374-E374</f>
        <v/>
      </c>
      <c r="G374" s="15">
        <f>IF(C374&lt;=0,0,MIN($B$9,C374-F374))</f>
        <v/>
      </c>
      <c r="H374" s="16" t="n"/>
      <c r="I374" s="15">
        <f>MAX(0,C374-F374-G374-MIN(N(H374),MAX(0,C374-F374-G374)))</f>
        <v/>
      </c>
      <c r="J374" s="17">
        <f>L373</f>
        <v/>
      </c>
      <c r="K374" s="17">
        <f>ROUND(J374*M374/1200,0)</f>
        <v/>
      </c>
      <c r="L374" s="17">
        <f>MAX(0,J374-(MIN($B$12,J374+K374)-K374))</f>
        <v/>
      </c>
      <c r="M374" s="18">
        <f>M373</f>
        <v/>
      </c>
    </row>
    <row r="375">
      <c r="A375" t="n">
        <v>354</v>
      </c>
      <c r="B375" s="14">
        <f>EDATE($B$8,353)</f>
        <v/>
      </c>
      <c r="C375" s="15">
        <f>I374</f>
        <v/>
      </c>
      <c r="D375" s="15">
        <f>IF(C375&lt;=0,0,MIN($B$12,C375+E375))</f>
        <v/>
      </c>
      <c r="E375" s="15">
        <f>ROUND(C375*M375/1200,0)</f>
        <v/>
      </c>
      <c r="F375" s="15">
        <f>D375-E375</f>
        <v/>
      </c>
      <c r="G375" s="15">
        <f>IF(C375&lt;=0,0,MIN($B$9,C375-F375))</f>
        <v/>
      </c>
      <c r="H375" s="16" t="n"/>
      <c r="I375" s="15">
        <f>MAX(0,C375-F375-G375-MIN(N(H375),MAX(0,C375-F375-G375)))</f>
        <v/>
      </c>
      <c r="J375" s="17">
        <f>L374</f>
        <v/>
      </c>
      <c r="K375" s="17">
        <f>ROUND(J375*M375/1200,0)</f>
        <v/>
      </c>
      <c r="L375" s="17">
        <f>MAX(0,J375-(MIN($B$12,J375+K375)-K375))</f>
        <v/>
      </c>
      <c r="M375" s="18">
        <f>M374</f>
        <v/>
      </c>
    </row>
    <row r="376">
      <c r="A376" t="n">
        <v>355</v>
      </c>
      <c r="B376" s="14">
        <f>EDATE($B$8,354)</f>
        <v/>
      </c>
      <c r="C376" s="15">
        <f>I375</f>
        <v/>
      </c>
      <c r="D376" s="15">
        <f>IF(C376&lt;=0,0,MIN($B$12,C376+E376))</f>
        <v/>
      </c>
      <c r="E376" s="15">
        <f>ROUND(C376*M376/1200,0)</f>
        <v/>
      </c>
      <c r="F376" s="15">
        <f>D376-E376</f>
        <v/>
      </c>
      <c r="G376" s="15">
        <f>IF(C376&lt;=0,0,MIN($B$9,C376-F376))</f>
        <v/>
      </c>
      <c r="H376" s="16" t="n"/>
      <c r="I376" s="15">
        <f>MAX(0,C376-F376-G376-MIN(N(H376),MAX(0,C376-F376-G376)))</f>
        <v/>
      </c>
      <c r="J376" s="17">
        <f>L375</f>
        <v/>
      </c>
      <c r="K376" s="17">
        <f>ROUND(J376*M376/1200,0)</f>
        <v/>
      </c>
      <c r="L376" s="17">
        <f>MAX(0,J376-(MIN($B$12,J376+K376)-K376))</f>
        <v/>
      </c>
      <c r="M376" s="18">
        <f>M375</f>
        <v/>
      </c>
    </row>
    <row r="377">
      <c r="A377" t="n">
        <v>356</v>
      </c>
      <c r="B377" s="14">
        <f>EDATE($B$8,355)</f>
        <v/>
      </c>
      <c r="C377" s="15">
        <f>I376</f>
        <v/>
      </c>
      <c r="D377" s="15">
        <f>IF(C377&lt;=0,0,MIN($B$12,C377+E377))</f>
        <v/>
      </c>
      <c r="E377" s="15">
        <f>ROUND(C377*M377/1200,0)</f>
        <v/>
      </c>
      <c r="F377" s="15">
        <f>D377-E377</f>
        <v/>
      </c>
      <c r="G377" s="15">
        <f>IF(C377&lt;=0,0,MIN($B$9,C377-F377))</f>
        <v/>
      </c>
      <c r="H377" s="16" t="n"/>
      <c r="I377" s="15">
        <f>MAX(0,C377-F377-G377-MIN(N(H377),MAX(0,C377-F377-G377)))</f>
        <v/>
      </c>
      <c r="J377" s="17">
        <f>L376</f>
        <v/>
      </c>
      <c r="K377" s="17">
        <f>ROUND(J377*M377/1200,0)</f>
        <v/>
      </c>
      <c r="L377" s="17">
        <f>MAX(0,J377-(MIN($B$12,J377+K377)-K377))</f>
        <v/>
      </c>
      <c r="M377" s="18">
        <f>M376</f>
        <v/>
      </c>
    </row>
    <row r="378">
      <c r="A378" t="n">
        <v>357</v>
      </c>
      <c r="B378" s="14">
        <f>EDATE($B$8,356)</f>
        <v/>
      </c>
      <c r="C378" s="15">
        <f>I377</f>
        <v/>
      </c>
      <c r="D378" s="15">
        <f>IF(C378&lt;=0,0,MIN($B$12,C378+E378))</f>
        <v/>
      </c>
      <c r="E378" s="15">
        <f>ROUND(C378*M378/1200,0)</f>
        <v/>
      </c>
      <c r="F378" s="15">
        <f>D378-E378</f>
        <v/>
      </c>
      <c r="G378" s="15">
        <f>IF(C378&lt;=0,0,MIN($B$9,C378-F378))</f>
        <v/>
      </c>
      <c r="H378" s="16" t="n"/>
      <c r="I378" s="15">
        <f>MAX(0,C378-F378-G378-MIN(N(H378),MAX(0,C378-F378-G378)))</f>
        <v/>
      </c>
      <c r="J378" s="17">
        <f>L377</f>
        <v/>
      </c>
      <c r="K378" s="17">
        <f>ROUND(J378*M378/1200,0)</f>
        <v/>
      </c>
      <c r="L378" s="17">
        <f>MAX(0,J378-(MIN($B$12,J378+K378)-K378))</f>
        <v/>
      </c>
      <c r="M378" s="18">
        <f>M377</f>
        <v/>
      </c>
    </row>
    <row r="379">
      <c r="A379" t="n">
        <v>358</v>
      </c>
      <c r="B379" s="14">
        <f>EDATE($B$8,357)</f>
        <v/>
      </c>
      <c r="C379" s="15">
        <f>I378</f>
        <v/>
      </c>
      <c r="D379" s="15">
        <f>IF(C379&lt;=0,0,MIN($B$12,C379+E379))</f>
        <v/>
      </c>
      <c r="E379" s="15">
        <f>ROUND(C379*M379/1200,0)</f>
        <v/>
      </c>
      <c r="F379" s="15">
        <f>D379-E379</f>
        <v/>
      </c>
      <c r="G379" s="15">
        <f>IF(C379&lt;=0,0,MIN($B$9,C379-F379))</f>
        <v/>
      </c>
      <c r="H379" s="16" t="n"/>
      <c r="I379" s="15">
        <f>MAX(0,C379-F379-G379-MIN(N(H379),MAX(0,C379-F379-G379)))</f>
        <v/>
      </c>
      <c r="J379" s="17">
        <f>L378</f>
        <v/>
      </c>
      <c r="K379" s="17">
        <f>ROUND(J379*M379/1200,0)</f>
        <v/>
      </c>
      <c r="L379" s="17">
        <f>MAX(0,J379-(MIN($B$12,J379+K379)-K379))</f>
        <v/>
      </c>
      <c r="M379" s="18">
        <f>M378</f>
        <v/>
      </c>
    </row>
    <row r="380">
      <c r="A380" t="n">
        <v>359</v>
      </c>
      <c r="B380" s="14">
        <f>EDATE($B$8,358)</f>
        <v/>
      </c>
      <c r="C380" s="15">
        <f>I379</f>
        <v/>
      </c>
      <c r="D380" s="15">
        <f>IF(C380&lt;=0,0,MIN($B$12,C380+E380))</f>
        <v/>
      </c>
      <c r="E380" s="15">
        <f>ROUND(C380*M380/1200,0)</f>
        <v/>
      </c>
      <c r="F380" s="15">
        <f>D380-E380</f>
        <v/>
      </c>
      <c r="G380" s="15">
        <f>IF(C380&lt;=0,0,MIN($B$9,C380-F380))</f>
        <v/>
      </c>
      <c r="H380" s="16" t="n"/>
      <c r="I380" s="15">
        <f>MAX(0,C380-F380-G380-MIN(N(H380),MAX(0,C380-F380-G380)))</f>
        <v/>
      </c>
      <c r="J380" s="17">
        <f>L379</f>
        <v/>
      </c>
      <c r="K380" s="17">
        <f>ROUND(J380*M380/1200,0)</f>
        <v/>
      </c>
      <c r="L380" s="17">
        <f>MAX(0,J380-(MIN($B$12,J380+K380)-K380))</f>
        <v/>
      </c>
      <c r="M380" s="18">
        <f>M379</f>
        <v/>
      </c>
    </row>
    <row r="381">
      <c r="A381" t="n">
        <v>360</v>
      </c>
      <c r="B381" s="14">
        <f>EDATE($B$8,359)</f>
        <v/>
      </c>
      <c r="C381" s="15">
        <f>I380</f>
        <v/>
      </c>
      <c r="D381" s="15">
        <f>IF(C381&lt;=0,0,MIN($B$12,C381+E381))</f>
        <v/>
      </c>
      <c r="E381" s="15">
        <f>ROUND(C381*M381/1200,0)</f>
        <v/>
      </c>
      <c r="F381" s="15">
        <f>D381-E381</f>
        <v/>
      </c>
      <c r="G381" s="15">
        <f>IF(C381&lt;=0,0,MIN($B$9,C381-F381))</f>
        <v/>
      </c>
      <c r="H381" s="16" t="n"/>
      <c r="I381" s="15">
        <f>MAX(0,C381-F381-G381-MIN(N(H381),MAX(0,C381-F381-G381)))</f>
        <v/>
      </c>
      <c r="J381" s="17">
        <f>L380</f>
        <v/>
      </c>
      <c r="K381" s="17">
        <f>ROUND(J381*M381/1200,0)</f>
        <v/>
      </c>
      <c r="L381" s="17">
        <f>MAX(0,J381-(MIN($B$12,J381+K381)-K381))</f>
        <v/>
      </c>
      <c r="M381" s="18">
        <f>M380</f>
        <v/>
      </c>
    </row>
    <row r="383">
      <c r="A383" s="19" t="inlineStr">
        <is>
          <t>Live version with every option side by side: https://paisatools.co.in/emi-calculator</t>
        </is>
      </c>
    </row>
    <row r="384">
      <c r="A384" s="2" t="inlineStr">
        <is>
          <t>Home loan amortization with prepayments · Free template by PaisaTools (paisatools.co.in) · CC BY 4.0: share and adapt with credit.</t>
        </is>
      </c>
    </row>
    <row r="385">
      <c r="A385" s="2" t="inlineStr">
        <is>
          <t>Estimates on the reducing balance at rate ÷ 12. Your bank may differ by rounding and posting dates. Not financial advice.</t>
        </is>
      </c>
    </row>
    <row r="386">
      <c r="A386" s="2" t="inlineStr">
        <is>
          <t>Want to compare reducing the EMI instead? Use the Reduce EMI or Tenure template / calculator: https://paisatools.co.in/reduce-emi-or-tenure-calculator</t>
        </is>
      </c>
    </row>
  </sheetData>
  <hyperlinks>
    <hyperlink xmlns:r="http://schemas.openxmlformats.org/officeDocument/2006/relationships" ref="A383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2026-10-18T19:18:27Z</dcterms:created>
  <dcterms:modified xmlns:dcterms="http://purl.org/dc/terms/" xmlns:xsi="http://www.w3.org/2001/XMLSchema-instance" xsi:type="dcterms:W3CDTF">2026-10-18T19:18:27Z</dcterms:modified>
</cp:coreProperties>
</file>