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ir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" fontId="0" fillId="3" borderId="1" pivotButton="0" quotePrefix="0" xfId="0"/>
    <xf numFmtId="165" fontId="0" fillId="3" borderId="1" pivotButton="0" quotePrefix="0" xfId="0"/>
    <xf numFmtId="164" fontId="4" fillId="4" borderId="1" pivotButton="0" quotePrefix="0" xfId="0"/>
    <xf numFmtId="2" fontId="4" fillId="4" borderId="1" pivotButton="0" quotePrefix="0" xfId="0"/>
    <xf numFmtId="0" fontId="4" fillId="0" borderId="0" pivotButton="0" quotePrefix="0" xfId="0"/>
    <xf numFmtId="164" fontId="0" fillId="0" borderId="0" pivotButton="0" quotePrefix="0" xfId="0"/>
    <xf numFmtId="164" fontId="0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retirement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Retirement calculator — how much you need, and the SIP to get there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 today</t>
        </is>
      </c>
      <c r="B4" s="4" t="n"/>
    </row>
    <row r="5">
      <c r="A5" s="5" t="inlineStr">
        <is>
          <t>Monthly expenses today (₹)</t>
        </is>
      </c>
      <c r="B5" s="6" t="n">
        <v>50000</v>
      </c>
      <c r="C5" s="2" t="inlineStr">
        <is>
          <t>What your household spends now, without EMIs that end before retirement</t>
        </is>
      </c>
    </row>
    <row r="6">
      <c r="A6" s="5" t="inlineStr">
        <is>
          <t>Your age</t>
        </is>
      </c>
      <c r="B6" s="7" t="n">
        <v>30</v>
      </c>
    </row>
    <row r="7">
      <c r="A7" s="5" t="inlineStr">
        <is>
          <t>Retire at</t>
        </is>
      </c>
      <c r="B7" s="7" t="n">
        <v>60</v>
      </c>
    </row>
    <row r="8">
      <c r="A8" s="5" t="inlineStr">
        <is>
          <t>Plan money to last until age</t>
        </is>
      </c>
      <c r="B8" s="7" t="n">
        <v>85</v>
      </c>
    </row>
    <row r="9">
      <c r="A9" s="5" t="inlineStr">
        <is>
          <t>Inflation (% a year)</t>
        </is>
      </c>
      <c r="B9" s="8" t="n">
        <v>6</v>
      </c>
    </row>
    <row r="10">
      <c r="A10" s="5" t="inlineStr">
        <is>
          <t>Return before retirement (% a year)</t>
        </is>
      </c>
      <c r="B10" s="8" t="n">
        <v>11</v>
      </c>
      <c r="C10" s="2" t="inlineStr">
        <is>
          <t>An assumption</t>
        </is>
      </c>
    </row>
    <row r="11">
      <c r="A11" s="5" t="inlineStr">
        <is>
          <t>Return after retirement (% a year)</t>
        </is>
      </c>
      <c r="B11" s="8" t="n">
        <v>7</v>
      </c>
      <c r="C11" s="2" t="inlineStr">
        <is>
          <t>Usually lower: safer investments</t>
        </is>
      </c>
    </row>
    <row r="12">
      <c r="A12" s="5" t="inlineStr">
        <is>
          <t>Savings already set aside for retirement (₹)</t>
        </is>
      </c>
      <c r="B12" s="6" t="n">
        <v>500000</v>
      </c>
    </row>
    <row r="14">
      <c r="A14" s="3" t="inlineStr">
        <is>
          <t>What you need</t>
        </is>
      </c>
      <c r="B14" s="4" t="n"/>
    </row>
    <row r="15">
      <c r="A15" s="5" t="inlineStr">
        <is>
          <t>Monthly expenses at retirement</t>
        </is>
      </c>
      <c r="B15" s="9">
        <f>B5*(1+B9/100)^(B7-B6)</f>
        <v/>
      </c>
    </row>
    <row r="16">
      <c r="A16" s="5" t="inlineStr">
        <is>
          <t>Real return in retirement (%)</t>
        </is>
      </c>
      <c r="B16" s="10">
        <f>((1+B11/100)/(1+B9/100)-1)*100</f>
        <v/>
      </c>
    </row>
    <row r="17">
      <c r="A17" s="5" t="inlineStr">
        <is>
          <t>Corpus needed at retirement</t>
        </is>
      </c>
      <c r="B17" s="9">
        <f>IF(ABS(B16)&lt;0.000001,B15*12*(B8-B7),B15*12*(1-(1+B16/100)^-(B8-B7))/(B16/100))</f>
        <v/>
      </c>
    </row>
    <row r="18">
      <c r="A18" s="5" t="inlineStr">
        <is>
          <t>Your savings grown to retirement</t>
        </is>
      </c>
      <c r="B18" s="9">
        <f>B12*(1+B10/100)^(B7-B6)</f>
        <v/>
      </c>
    </row>
    <row r="19">
      <c r="A19" s="5" t="inlineStr">
        <is>
          <t>Gap to fill</t>
        </is>
      </c>
      <c r="B19" s="9">
        <f>MAX(0,B17-B18)</f>
        <v/>
      </c>
    </row>
    <row r="20">
      <c r="A20" s="5" t="inlineStr">
        <is>
          <t>Monthly SIP needed from now</t>
        </is>
      </c>
      <c r="B20" s="9">
        <f>PMT(B10/1200,(B7-B6)*12,0,-B19,1)</f>
        <v/>
      </c>
      <c r="C20" s="2" t="inlineStr">
        <is>
          <t>Invested at the start of each month</t>
        </is>
      </c>
    </row>
    <row r="22">
      <c r="A22" s="2" t="inlineStr">
        <is>
          <t>Drawdown check: the balance earns the after-retirement return, the year's expenses (growing with inflation) come out at the year end, and the balance reaches zero at the last age.</t>
        </is>
      </c>
    </row>
    <row r="23">
      <c r="A23" s="11" t="inlineStr">
        <is>
          <t>Age</t>
        </is>
      </c>
      <c r="B23" s="11" t="inlineStr">
        <is>
          <t>Balance at the start</t>
        </is>
      </c>
      <c r="C23" s="11" t="inlineStr">
        <is>
          <t>Withdrawn at year end</t>
        </is>
      </c>
      <c r="D23" s="11" t="inlineStr">
        <is>
          <t>Balance at the end</t>
        </is>
      </c>
    </row>
    <row r="24">
      <c r="A24">
        <f>IF($B$7+0&lt;$B$8,$B$7+0,"")</f>
        <v/>
      </c>
      <c r="B24" s="12">
        <f>B17</f>
        <v/>
      </c>
      <c r="C24" s="12">
        <f>IF(A24="","",$B$15*12*(1+$B$9/100)^1)</f>
        <v/>
      </c>
      <c r="D24" s="13">
        <f>IF(A24="","",B24*(1+$B$11/100)-C24)</f>
        <v/>
      </c>
    </row>
    <row r="25">
      <c r="A25">
        <f>IF($B$7+1&lt;$B$8,$B$7+1,"")</f>
        <v/>
      </c>
      <c r="B25" s="12">
        <f>IF(A25="","",D24)</f>
        <v/>
      </c>
      <c r="C25" s="12">
        <f>IF(A25="","",$B$15*12*(1+$B$9/100)^2)</f>
        <v/>
      </c>
      <c r="D25" s="13">
        <f>IF(A25="","",B25*(1+$B$11/100)-C25)</f>
        <v/>
      </c>
    </row>
    <row r="26">
      <c r="A26">
        <f>IF($B$7+2&lt;$B$8,$B$7+2,"")</f>
        <v/>
      </c>
      <c r="B26" s="12">
        <f>IF(A26="","",D25)</f>
        <v/>
      </c>
      <c r="C26" s="12">
        <f>IF(A26="","",$B$15*12*(1+$B$9/100)^3)</f>
        <v/>
      </c>
      <c r="D26" s="13">
        <f>IF(A26="","",B26*(1+$B$11/100)-C26)</f>
        <v/>
      </c>
    </row>
    <row r="27">
      <c r="A27">
        <f>IF($B$7+3&lt;$B$8,$B$7+3,"")</f>
        <v/>
      </c>
      <c r="B27" s="12">
        <f>IF(A27="","",D26)</f>
        <v/>
      </c>
      <c r="C27" s="12">
        <f>IF(A27="","",$B$15*12*(1+$B$9/100)^4)</f>
        <v/>
      </c>
      <c r="D27" s="13">
        <f>IF(A27="","",B27*(1+$B$11/100)-C27)</f>
        <v/>
      </c>
    </row>
    <row r="28">
      <c r="A28">
        <f>IF($B$7+4&lt;$B$8,$B$7+4,"")</f>
        <v/>
      </c>
      <c r="B28" s="12">
        <f>IF(A28="","",D27)</f>
        <v/>
      </c>
      <c r="C28" s="12">
        <f>IF(A28="","",$B$15*12*(1+$B$9/100)^5)</f>
        <v/>
      </c>
      <c r="D28" s="13">
        <f>IF(A28="","",B28*(1+$B$11/100)-C28)</f>
        <v/>
      </c>
    </row>
    <row r="29">
      <c r="A29">
        <f>IF($B$7+5&lt;$B$8,$B$7+5,"")</f>
        <v/>
      </c>
      <c r="B29" s="12">
        <f>IF(A29="","",D28)</f>
        <v/>
      </c>
      <c r="C29" s="12">
        <f>IF(A29="","",$B$15*12*(1+$B$9/100)^6)</f>
        <v/>
      </c>
      <c r="D29" s="13">
        <f>IF(A29="","",B29*(1+$B$11/100)-C29)</f>
        <v/>
      </c>
    </row>
    <row r="30">
      <c r="A30">
        <f>IF($B$7+6&lt;$B$8,$B$7+6,"")</f>
        <v/>
      </c>
      <c r="B30" s="12">
        <f>IF(A30="","",D29)</f>
        <v/>
      </c>
      <c r="C30" s="12">
        <f>IF(A30="","",$B$15*12*(1+$B$9/100)^7)</f>
        <v/>
      </c>
      <c r="D30" s="13">
        <f>IF(A30="","",B30*(1+$B$11/100)-C30)</f>
        <v/>
      </c>
    </row>
    <row r="31">
      <c r="A31">
        <f>IF($B$7+7&lt;$B$8,$B$7+7,"")</f>
        <v/>
      </c>
      <c r="B31" s="12">
        <f>IF(A31="","",D30)</f>
        <v/>
      </c>
      <c r="C31" s="12">
        <f>IF(A31="","",$B$15*12*(1+$B$9/100)^8)</f>
        <v/>
      </c>
      <c r="D31" s="13">
        <f>IF(A31="","",B31*(1+$B$11/100)-C31)</f>
        <v/>
      </c>
    </row>
    <row r="32">
      <c r="A32">
        <f>IF($B$7+8&lt;$B$8,$B$7+8,"")</f>
        <v/>
      </c>
      <c r="B32" s="12">
        <f>IF(A32="","",D31)</f>
        <v/>
      </c>
      <c r="C32" s="12">
        <f>IF(A32="","",$B$15*12*(1+$B$9/100)^9)</f>
        <v/>
      </c>
      <c r="D32" s="13">
        <f>IF(A32="","",B32*(1+$B$11/100)-C32)</f>
        <v/>
      </c>
    </row>
    <row r="33">
      <c r="A33">
        <f>IF($B$7+9&lt;$B$8,$B$7+9,"")</f>
        <v/>
      </c>
      <c r="B33" s="12">
        <f>IF(A33="","",D32)</f>
        <v/>
      </c>
      <c r="C33" s="12">
        <f>IF(A33="","",$B$15*12*(1+$B$9/100)^10)</f>
        <v/>
      </c>
      <c r="D33" s="13">
        <f>IF(A33="","",B33*(1+$B$11/100)-C33)</f>
        <v/>
      </c>
    </row>
    <row r="34">
      <c r="A34">
        <f>IF($B$7+10&lt;$B$8,$B$7+10,"")</f>
        <v/>
      </c>
      <c r="B34" s="12">
        <f>IF(A34="","",D33)</f>
        <v/>
      </c>
      <c r="C34" s="12">
        <f>IF(A34="","",$B$15*12*(1+$B$9/100)^11)</f>
        <v/>
      </c>
      <c r="D34" s="13">
        <f>IF(A34="","",B34*(1+$B$11/100)-C34)</f>
        <v/>
      </c>
    </row>
    <row r="35">
      <c r="A35">
        <f>IF($B$7+11&lt;$B$8,$B$7+11,"")</f>
        <v/>
      </c>
      <c r="B35" s="12">
        <f>IF(A35="","",D34)</f>
        <v/>
      </c>
      <c r="C35" s="12">
        <f>IF(A35="","",$B$15*12*(1+$B$9/100)^12)</f>
        <v/>
      </c>
      <c r="D35" s="13">
        <f>IF(A35="","",B35*(1+$B$11/100)-C35)</f>
        <v/>
      </c>
    </row>
    <row r="36">
      <c r="A36">
        <f>IF($B$7+12&lt;$B$8,$B$7+12,"")</f>
        <v/>
      </c>
      <c r="B36" s="12">
        <f>IF(A36="","",D35)</f>
        <v/>
      </c>
      <c r="C36" s="12">
        <f>IF(A36="","",$B$15*12*(1+$B$9/100)^13)</f>
        <v/>
      </c>
      <c r="D36" s="13">
        <f>IF(A36="","",B36*(1+$B$11/100)-C36)</f>
        <v/>
      </c>
    </row>
    <row r="37">
      <c r="A37">
        <f>IF($B$7+13&lt;$B$8,$B$7+13,"")</f>
        <v/>
      </c>
      <c r="B37" s="12">
        <f>IF(A37="","",D36)</f>
        <v/>
      </c>
      <c r="C37" s="12">
        <f>IF(A37="","",$B$15*12*(1+$B$9/100)^14)</f>
        <v/>
      </c>
      <c r="D37" s="13">
        <f>IF(A37="","",B37*(1+$B$11/100)-C37)</f>
        <v/>
      </c>
    </row>
    <row r="38">
      <c r="A38">
        <f>IF($B$7+14&lt;$B$8,$B$7+14,"")</f>
        <v/>
      </c>
      <c r="B38" s="12">
        <f>IF(A38="","",D37)</f>
        <v/>
      </c>
      <c r="C38" s="12">
        <f>IF(A38="","",$B$15*12*(1+$B$9/100)^15)</f>
        <v/>
      </c>
      <c r="D38" s="13">
        <f>IF(A38="","",B38*(1+$B$11/100)-C38)</f>
        <v/>
      </c>
    </row>
    <row r="39">
      <c r="A39">
        <f>IF($B$7+15&lt;$B$8,$B$7+15,"")</f>
        <v/>
      </c>
      <c r="B39" s="12">
        <f>IF(A39="","",D38)</f>
        <v/>
      </c>
      <c r="C39" s="12">
        <f>IF(A39="","",$B$15*12*(1+$B$9/100)^16)</f>
        <v/>
      </c>
      <c r="D39" s="13">
        <f>IF(A39="","",B39*(1+$B$11/100)-C39)</f>
        <v/>
      </c>
    </row>
    <row r="40">
      <c r="A40">
        <f>IF($B$7+16&lt;$B$8,$B$7+16,"")</f>
        <v/>
      </c>
      <c r="B40" s="12">
        <f>IF(A40="","",D39)</f>
        <v/>
      </c>
      <c r="C40" s="12">
        <f>IF(A40="","",$B$15*12*(1+$B$9/100)^17)</f>
        <v/>
      </c>
      <c r="D40" s="13">
        <f>IF(A40="","",B40*(1+$B$11/100)-C40)</f>
        <v/>
      </c>
    </row>
    <row r="41">
      <c r="A41">
        <f>IF($B$7+17&lt;$B$8,$B$7+17,"")</f>
        <v/>
      </c>
      <c r="B41" s="12">
        <f>IF(A41="","",D40)</f>
        <v/>
      </c>
      <c r="C41" s="12">
        <f>IF(A41="","",$B$15*12*(1+$B$9/100)^18)</f>
        <v/>
      </c>
      <c r="D41" s="13">
        <f>IF(A41="","",B41*(1+$B$11/100)-C41)</f>
        <v/>
      </c>
    </row>
    <row r="42">
      <c r="A42">
        <f>IF($B$7+18&lt;$B$8,$B$7+18,"")</f>
        <v/>
      </c>
      <c r="B42" s="12">
        <f>IF(A42="","",D41)</f>
        <v/>
      </c>
      <c r="C42" s="12">
        <f>IF(A42="","",$B$15*12*(1+$B$9/100)^19)</f>
        <v/>
      </c>
      <c r="D42" s="13">
        <f>IF(A42="","",B42*(1+$B$11/100)-C42)</f>
        <v/>
      </c>
    </row>
    <row r="43">
      <c r="A43">
        <f>IF($B$7+19&lt;$B$8,$B$7+19,"")</f>
        <v/>
      </c>
      <c r="B43" s="12">
        <f>IF(A43="","",D42)</f>
        <v/>
      </c>
      <c r="C43" s="12">
        <f>IF(A43="","",$B$15*12*(1+$B$9/100)^20)</f>
        <v/>
      </c>
      <c r="D43" s="13">
        <f>IF(A43="","",B43*(1+$B$11/100)-C43)</f>
        <v/>
      </c>
    </row>
    <row r="44">
      <c r="A44">
        <f>IF($B$7+20&lt;$B$8,$B$7+20,"")</f>
        <v/>
      </c>
      <c r="B44" s="12">
        <f>IF(A44="","",D43)</f>
        <v/>
      </c>
      <c r="C44" s="12">
        <f>IF(A44="","",$B$15*12*(1+$B$9/100)^21)</f>
        <v/>
      </c>
      <c r="D44" s="13">
        <f>IF(A44="","",B44*(1+$B$11/100)-C44)</f>
        <v/>
      </c>
    </row>
    <row r="45">
      <c r="A45">
        <f>IF($B$7+21&lt;$B$8,$B$7+21,"")</f>
        <v/>
      </c>
      <c r="B45" s="12">
        <f>IF(A45="","",D44)</f>
        <v/>
      </c>
      <c r="C45" s="12">
        <f>IF(A45="","",$B$15*12*(1+$B$9/100)^22)</f>
        <v/>
      </c>
      <c r="D45" s="13">
        <f>IF(A45="","",B45*(1+$B$11/100)-C45)</f>
        <v/>
      </c>
    </row>
    <row r="46">
      <c r="A46">
        <f>IF($B$7+22&lt;$B$8,$B$7+22,"")</f>
        <v/>
      </c>
      <c r="B46" s="12">
        <f>IF(A46="","",D45)</f>
        <v/>
      </c>
      <c r="C46" s="12">
        <f>IF(A46="","",$B$15*12*(1+$B$9/100)^23)</f>
        <v/>
      </c>
      <c r="D46" s="13">
        <f>IF(A46="","",B46*(1+$B$11/100)-C46)</f>
        <v/>
      </c>
    </row>
    <row r="47">
      <c r="A47">
        <f>IF($B$7+23&lt;$B$8,$B$7+23,"")</f>
        <v/>
      </c>
      <c r="B47" s="12">
        <f>IF(A47="","",D46)</f>
        <v/>
      </c>
      <c r="C47" s="12">
        <f>IF(A47="","",$B$15*12*(1+$B$9/100)^24)</f>
        <v/>
      </c>
      <c r="D47" s="13">
        <f>IF(A47="","",B47*(1+$B$11/100)-C47)</f>
        <v/>
      </c>
    </row>
    <row r="48">
      <c r="A48">
        <f>IF($B$7+24&lt;$B$8,$B$7+24,"")</f>
        <v/>
      </c>
      <c r="B48" s="12">
        <f>IF(A48="","",D47)</f>
        <v/>
      </c>
      <c r="C48" s="12">
        <f>IF(A48="","",$B$15*12*(1+$B$9/100)^25)</f>
        <v/>
      </c>
      <c r="D48" s="13">
        <f>IF(A48="","",B48*(1+$B$11/100)-C48)</f>
        <v/>
      </c>
    </row>
    <row r="49">
      <c r="A49">
        <f>IF($B$7+25&lt;$B$8,$B$7+25,"")</f>
        <v/>
      </c>
      <c r="B49" s="12">
        <f>IF(A49="","",D48)</f>
        <v/>
      </c>
      <c r="C49" s="12">
        <f>IF(A49="","",$B$15*12*(1+$B$9/100)^26)</f>
        <v/>
      </c>
      <c r="D49" s="13">
        <f>IF(A49="","",B49*(1+$B$11/100)-C49)</f>
        <v/>
      </c>
    </row>
    <row r="50">
      <c r="A50">
        <f>IF($B$7+26&lt;$B$8,$B$7+26,"")</f>
        <v/>
      </c>
      <c r="B50" s="12">
        <f>IF(A50="","",D49)</f>
        <v/>
      </c>
      <c r="C50" s="12">
        <f>IF(A50="","",$B$15*12*(1+$B$9/100)^27)</f>
        <v/>
      </c>
      <c r="D50" s="13">
        <f>IF(A50="","",B50*(1+$B$11/100)-C50)</f>
        <v/>
      </c>
    </row>
    <row r="51">
      <c r="A51">
        <f>IF($B$7+27&lt;$B$8,$B$7+27,"")</f>
        <v/>
      </c>
      <c r="B51" s="12">
        <f>IF(A51="","",D50)</f>
        <v/>
      </c>
      <c r="C51" s="12">
        <f>IF(A51="","",$B$15*12*(1+$B$9/100)^28)</f>
        <v/>
      </c>
      <c r="D51" s="13">
        <f>IF(A51="","",B51*(1+$B$11/100)-C51)</f>
        <v/>
      </c>
    </row>
    <row r="52">
      <c r="A52">
        <f>IF($B$7+28&lt;$B$8,$B$7+28,"")</f>
        <v/>
      </c>
      <c r="B52" s="12">
        <f>IF(A52="","",D51)</f>
        <v/>
      </c>
      <c r="C52" s="12">
        <f>IF(A52="","",$B$15*12*(1+$B$9/100)^29)</f>
        <v/>
      </c>
      <c r="D52" s="13">
        <f>IF(A52="","",B52*(1+$B$11/100)-C52)</f>
        <v/>
      </c>
    </row>
    <row r="53">
      <c r="A53">
        <f>IF($B$7+29&lt;$B$8,$B$7+29,"")</f>
        <v/>
      </c>
      <c r="B53" s="12">
        <f>IF(A53="","",D52)</f>
        <v/>
      </c>
      <c r="C53" s="12">
        <f>IF(A53="","",$B$15*12*(1+$B$9/100)^30)</f>
        <v/>
      </c>
      <c r="D53" s="13">
        <f>IF(A53="","",B53*(1+$B$11/100)-C53)</f>
        <v/>
      </c>
    </row>
    <row r="54">
      <c r="A54">
        <f>IF($B$7+30&lt;$B$8,$B$7+30,"")</f>
        <v/>
      </c>
      <c r="B54" s="12">
        <f>IF(A54="","",D53)</f>
        <v/>
      </c>
      <c r="C54" s="12">
        <f>IF(A54="","",$B$15*12*(1+$B$9/100)^31)</f>
        <v/>
      </c>
      <c r="D54" s="13">
        <f>IF(A54="","",B54*(1+$B$11/100)-C54)</f>
        <v/>
      </c>
    </row>
    <row r="55">
      <c r="A55">
        <f>IF($B$7+31&lt;$B$8,$B$7+31,"")</f>
        <v/>
      </c>
      <c r="B55" s="12">
        <f>IF(A55="","",D54)</f>
        <v/>
      </c>
      <c r="C55" s="12">
        <f>IF(A55="","",$B$15*12*(1+$B$9/100)^32)</f>
        <v/>
      </c>
      <c r="D55" s="13">
        <f>IF(A55="","",B55*(1+$B$11/100)-C55)</f>
        <v/>
      </c>
    </row>
    <row r="56">
      <c r="A56">
        <f>IF($B$7+32&lt;$B$8,$B$7+32,"")</f>
        <v/>
      </c>
      <c r="B56" s="12">
        <f>IF(A56="","",D55)</f>
        <v/>
      </c>
      <c r="C56" s="12">
        <f>IF(A56="","",$B$15*12*(1+$B$9/100)^33)</f>
        <v/>
      </c>
      <c r="D56" s="13">
        <f>IF(A56="","",B56*(1+$B$11/100)-C56)</f>
        <v/>
      </c>
    </row>
    <row r="57">
      <c r="A57">
        <f>IF($B$7+33&lt;$B$8,$B$7+33,"")</f>
        <v/>
      </c>
      <c r="B57" s="12">
        <f>IF(A57="","",D56)</f>
        <v/>
      </c>
      <c r="C57" s="12">
        <f>IF(A57="","",$B$15*12*(1+$B$9/100)^34)</f>
        <v/>
      </c>
      <c r="D57" s="13">
        <f>IF(A57="","",B57*(1+$B$11/100)-C57)</f>
        <v/>
      </c>
    </row>
    <row r="58">
      <c r="A58">
        <f>IF($B$7+34&lt;$B$8,$B$7+34,"")</f>
        <v/>
      </c>
      <c r="B58" s="12">
        <f>IF(A58="","",D57)</f>
        <v/>
      </c>
      <c r="C58" s="12">
        <f>IF(A58="","",$B$15*12*(1+$B$9/100)^35)</f>
        <v/>
      </c>
      <c r="D58" s="13">
        <f>IF(A58="","",B58*(1+$B$11/100)-C58)</f>
        <v/>
      </c>
    </row>
    <row r="59">
      <c r="A59">
        <f>IF($B$7+35&lt;$B$8,$B$7+35,"")</f>
        <v/>
      </c>
      <c r="B59" s="12">
        <f>IF(A59="","",D58)</f>
        <v/>
      </c>
      <c r="C59" s="12">
        <f>IF(A59="","",$B$15*12*(1+$B$9/100)^36)</f>
        <v/>
      </c>
      <c r="D59" s="13">
        <f>IF(A59="","",B59*(1+$B$11/100)-C59)</f>
        <v/>
      </c>
    </row>
    <row r="60">
      <c r="A60">
        <f>IF($B$7+36&lt;$B$8,$B$7+36,"")</f>
        <v/>
      </c>
      <c r="B60" s="12">
        <f>IF(A60="","",D59)</f>
        <v/>
      </c>
      <c r="C60" s="12">
        <f>IF(A60="","",$B$15*12*(1+$B$9/100)^37)</f>
        <v/>
      </c>
      <c r="D60" s="13">
        <f>IF(A60="","",B60*(1+$B$11/100)-C60)</f>
        <v/>
      </c>
    </row>
    <row r="61">
      <c r="A61">
        <f>IF($B$7+37&lt;$B$8,$B$7+37,"")</f>
        <v/>
      </c>
      <c r="B61" s="12">
        <f>IF(A61="","",D60)</f>
        <v/>
      </c>
      <c r="C61" s="12">
        <f>IF(A61="","",$B$15*12*(1+$B$9/100)^38)</f>
        <v/>
      </c>
      <c r="D61" s="13">
        <f>IF(A61="","",B61*(1+$B$11/100)-C61)</f>
        <v/>
      </c>
    </row>
    <row r="62">
      <c r="A62">
        <f>IF($B$7+38&lt;$B$8,$B$7+38,"")</f>
        <v/>
      </c>
      <c r="B62" s="12">
        <f>IF(A62="","",D61)</f>
        <v/>
      </c>
      <c r="C62" s="12">
        <f>IF(A62="","",$B$15*12*(1+$B$9/100)^39)</f>
        <v/>
      </c>
      <c r="D62" s="13">
        <f>IF(A62="","",B62*(1+$B$11/100)-C62)</f>
        <v/>
      </c>
    </row>
    <row r="63">
      <c r="A63">
        <f>IF($B$7+39&lt;$B$8,$B$7+39,"")</f>
        <v/>
      </c>
      <c r="B63" s="12">
        <f>IF(A63="","",D62)</f>
        <v/>
      </c>
      <c r="C63" s="12">
        <f>IF(A63="","",$B$15*12*(1+$B$9/100)^40)</f>
        <v/>
      </c>
      <c r="D63" s="13">
        <f>IF(A63="","",B63*(1+$B$11/100)-C63)</f>
        <v/>
      </c>
    </row>
    <row r="64">
      <c r="A64">
        <f>IF($B$7+40&lt;$B$8,$B$7+40,"")</f>
        <v/>
      </c>
      <c r="B64" s="12">
        <f>IF(A64="","",D63)</f>
        <v/>
      </c>
      <c r="C64" s="12">
        <f>IF(A64="","",$B$15*12*(1+$B$9/100)^41)</f>
        <v/>
      </c>
      <c r="D64" s="13">
        <f>IF(A64="","",B64*(1+$B$11/100)-C64)</f>
        <v/>
      </c>
    </row>
    <row r="65">
      <c r="A65">
        <f>IF($B$7+41&lt;$B$8,$B$7+41,"")</f>
        <v/>
      </c>
      <c r="B65" s="12">
        <f>IF(A65="","",D64)</f>
        <v/>
      </c>
      <c r="C65" s="12">
        <f>IF(A65="","",$B$15*12*(1+$B$9/100)^42)</f>
        <v/>
      </c>
      <c r="D65" s="13">
        <f>IF(A65="","",B65*(1+$B$11/100)-C65)</f>
        <v/>
      </c>
    </row>
    <row r="66">
      <c r="A66">
        <f>IF($B$7+42&lt;$B$8,$B$7+42,"")</f>
        <v/>
      </c>
      <c r="B66" s="12">
        <f>IF(A66="","",D65)</f>
        <v/>
      </c>
      <c r="C66" s="12">
        <f>IF(A66="","",$B$15*12*(1+$B$9/100)^43)</f>
        <v/>
      </c>
      <c r="D66" s="13">
        <f>IF(A66="","",B66*(1+$B$11/100)-C66)</f>
        <v/>
      </c>
    </row>
    <row r="67">
      <c r="A67">
        <f>IF($B$7+43&lt;$B$8,$B$7+43,"")</f>
        <v/>
      </c>
      <c r="B67" s="12">
        <f>IF(A67="","",D66)</f>
        <v/>
      </c>
      <c r="C67" s="12">
        <f>IF(A67="","",$B$15*12*(1+$B$9/100)^44)</f>
        <v/>
      </c>
      <c r="D67" s="13">
        <f>IF(A67="","",B67*(1+$B$11/100)-C67)</f>
        <v/>
      </c>
    </row>
    <row r="68">
      <c r="A68">
        <f>IF($B$7+44&lt;$B$8,$B$7+44,"")</f>
        <v/>
      </c>
      <c r="B68" s="12">
        <f>IF(A68="","",D67)</f>
        <v/>
      </c>
      <c r="C68" s="12">
        <f>IF(A68="","",$B$15*12*(1+$B$9/100)^45)</f>
        <v/>
      </c>
      <c r="D68" s="13">
        <f>IF(A68="","",B68*(1+$B$11/100)-C68)</f>
        <v/>
      </c>
    </row>
    <row r="69">
      <c r="A69">
        <f>IF($B$7+45&lt;$B$8,$B$7+45,"")</f>
        <v/>
      </c>
      <c r="B69" s="12">
        <f>IF(A69="","",D68)</f>
        <v/>
      </c>
      <c r="C69" s="12">
        <f>IF(A69="","",$B$15*12*(1+$B$9/100)^46)</f>
        <v/>
      </c>
      <c r="D69" s="13">
        <f>IF(A69="","",B69*(1+$B$11/100)-C69)</f>
        <v/>
      </c>
    </row>
    <row r="70">
      <c r="A70">
        <f>IF($B$7+46&lt;$B$8,$B$7+46,"")</f>
        <v/>
      </c>
      <c r="B70" s="12">
        <f>IF(A70="","",D69)</f>
        <v/>
      </c>
      <c r="C70" s="12">
        <f>IF(A70="","",$B$15*12*(1+$B$9/100)^47)</f>
        <v/>
      </c>
      <c r="D70" s="13">
        <f>IF(A70="","",B70*(1+$B$11/100)-C70)</f>
        <v/>
      </c>
    </row>
    <row r="71">
      <c r="A71">
        <f>IF($B$7+47&lt;$B$8,$B$7+47,"")</f>
        <v/>
      </c>
      <c r="B71" s="12">
        <f>IF(A71="","",D70)</f>
        <v/>
      </c>
      <c r="C71" s="12">
        <f>IF(A71="","",$B$15*12*(1+$B$9/100)^48)</f>
        <v/>
      </c>
      <c r="D71" s="13">
        <f>IF(A71="","",B71*(1+$B$11/100)-C71)</f>
        <v/>
      </c>
    </row>
    <row r="72">
      <c r="A72">
        <f>IF($B$7+48&lt;$B$8,$B$7+48,"")</f>
        <v/>
      </c>
      <c r="B72" s="12">
        <f>IF(A72="","",D71)</f>
        <v/>
      </c>
      <c r="C72" s="12">
        <f>IF(A72="","",$B$15*12*(1+$B$9/100)^49)</f>
        <v/>
      </c>
      <c r="D72" s="13">
        <f>IF(A72="","",B72*(1+$B$11/100)-C72)</f>
        <v/>
      </c>
    </row>
    <row r="73">
      <c r="A73">
        <f>IF($B$7+49&lt;$B$8,$B$7+49,"")</f>
        <v/>
      </c>
      <c r="B73" s="12">
        <f>IF(A73="","",D72)</f>
        <v/>
      </c>
      <c r="C73" s="12">
        <f>IF(A73="","",$B$15*12*(1+$B$9/100)^50)</f>
        <v/>
      </c>
      <c r="D73" s="13">
        <f>IF(A73="","",B73*(1+$B$11/100)-C73)</f>
        <v/>
      </c>
    </row>
    <row r="74">
      <c r="A74">
        <f>IF($B$7+50&lt;$B$8,$B$7+50,"")</f>
        <v/>
      </c>
      <c r="B74" s="12">
        <f>IF(A74="","",D73)</f>
        <v/>
      </c>
      <c r="C74" s="12">
        <f>IF(A74="","",$B$15*12*(1+$B$9/100)^51)</f>
        <v/>
      </c>
      <c r="D74" s="13">
        <f>IF(A74="","",B74*(1+$B$11/100)-C74)</f>
        <v/>
      </c>
    </row>
    <row r="75">
      <c r="A75">
        <f>IF($B$7+51&lt;$B$8,$B$7+51,"")</f>
        <v/>
      </c>
      <c r="B75" s="12">
        <f>IF(A75="","",D74)</f>
        <v/>
      </c>
      <c r="C75" s="12">
        <f>IF(A75="","",$B$15*12*(1+$B$9/100)^52)</f>
        <v/>
      </c>
      <c r="D75" s="13">
        <f>IF(A75="","",B75*(1+$B$11/100)-C75)</f>
        <v/>
      </c>
    </row>
    <row r="76">
      <c r="A76">
        <f>IF($B$7+52&lt;$B$8,$B$7+52,"")</f>
        <v/>
      </c>
      <c r="B76" s="12">
        <f>IF(A76="","",D75)</f>
        <v/>
      </c>
      <c r="C76" s="12">
        <f>IF(A76="","",$B$15*12*(1+$B$9/100)^53)</f>
        <v/>
      </c>
      <c r="D76" s="13">
        <f>IF(A76="","",B76*(1+$B$11/100)-C76)</f>
        <v/>
      </c>
    </row>
    <row r="77">
      <c r="A77">
        <f>IF($B$7+53&lt;$B$8,$B$7+53,"")</f>
        <v/>
      </c>
      <c r="B77" s="12">
        <f>IF(A77="","",D76)</f>
        <v/>
      </c>
      <c r="C77" s="12">
        <f>IF(A77="","",$B$15*12*(1+$B$9/100)^54)</f>
        <v/>
      </c>
      <c r="D77" s="13">
        <f>IF(A77="","",B77*(1+$B$11/100)-C77)</f>
        <v/>
      </c>
    </row>
    <row r="78">
      <c r="A78">
        <f>IF($B$7+54&lt;$B$8,$B$7+54,"")</f>
        <v/>
      </c>
      <c r="B78" s="12">
        <f>IF(A78="","",D77)</f>
        <v/>
      </c>
      <c r="C78" s="12">
        <f>IF(A78="","",$B$15*12*(1+$B$9/100)^55)</f>
        <v/>
      </c>
      <c r="D78" s="13">
        <f>IF(A78="","",B78*(1+$B$11/100)-C78)</f>
        <v/>
      </c>
    </row>
    <row r="79">
      <c r="A79">
        <f>IF($B$7+55&lt;$B$8,$B$7+55,"")</f>
        <v/>
      </c>
      <c r="B79" s="12">
        <f>IF(A79="","",D78)</f>
        <v/>
      </c>
      <c r="C79" s="12">
        <f>IF(A79="","",$B$15*12*(1+$B$9/100)^56)</f>
        <v/>
      </c>
      <c r="D79" s="13">
        <f>IF(A79="","",B79*(1+$B$11/100)-C79)</f>
        <v/>
      </c>
    </row>
    <row r="80">
      <c r="A80">
        <f>IF($B$7+56&lt;$B$8,$B$7+56,"")</f>
        <v/>
      </c>
      <c r="B80" s="12">
        <f>IF(A80="","",D79)</f>
        <v/>
      </c>
      <c r="C80" s="12">
        <f>IF(A80="","",$B$15*12*(1+$B$9/100)^57)</f>
        <v/>
      </c>
      <c r="D80" s="13">
        <f>IF(A80="","",B80*(1+$B$11/100)-C80)</f>
        <v/>
      </c>
    </row>
    <row r="81">
      <c r="A81">
        <f>IF($B$7+57&lt;$B$8,$B$7+57,"")</f>
        <v/>
      </c>
      <c r="B81" s="12">
        <f>IF(A81="","",D80)</f>
        <v/>
      </c>
      <c r="C81" s="12">
        <f>IF(A81="","",$B$15*12*(1+$B$9/100)^58)</f>
        <v/>
      </c>
      <c r="D81" s="13">
        <f>IF(A81="","",B81*(1+$B$11/100)-C81)</f>
        <v/>
      </c>
    </row>
    <row r="82">
      <c r="A82">
        <f>IF($B$7+58&lt;$B$8,$B$7+58,"")</f>
        <v/>
      </c>
      <c r="B82" s="12">
        <f>IF(A82="","",D81)</f>
        <v/>
      </c>
      <c r="C82" s="12">
        <f>IF(A82="","",$B$15*12*(1+$B$9/100)^59)</f>
        <v/>
      </c>
      <c r="D82" s="13">
        <f>IF(A82="","",B82*(1+$B$11/100)-C82)</f>
        <v/>
      </c>
    </row>
    <row r="83">
      <c r="A83">
        <f>IF($B$7+59&lt;$B$8,$B$7+59,"")</f>
        <v/>
      </c>
      <c r="B83" s="12">
        <f>IF(A83="","",D82)</f>
        <v/>
      </c>
      <c r="C83" s="12">
        <f>IF(A83="","",$B$15*12*(1+$B$9/100)^60)</f>
        <v/>
      </c>
      <c r="D83" s="13">
        <f>IF(A83="","",B83*(1+$B$11/100)-C83)</f>
        <v/>
      </c>
    </row>
    <row r="85">
      <c r="A85" s="14" t="inlineStr">
        <is>
          <t>Live version with every option side by side: https://paisatools.co.in/retirement-calculator</t>
        </is>
      </c>
    </row>
    <row r="86">
      <c r="A86" s="2" t="inlineStr">
        <is>
          <t>Retirement calculator · Free template by PaisaTools (paisatools.co.in) · CC BY 4.0: share and adapt with credit.</t>
        </is>
      </c>
    </row>
    <row r="87">
      <c r="A87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8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2026-10-22T19:32:19Z</dcterms:created>
  <dcterms:modified xmlns:dcterms="http://purl.org/dc/terms/" xmlns:xsi="http://www.w3.org/2001/XMLSchema-instance" xsi:type="dcterms:W3CDTF">2026-10-22T19:32:19Z</dcterms:modified>
</cp:coreProperties>
</file>